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drigo Campos\Desktop\"/>
    </mc:Choice>
  </mc:AlternateContent>
  <xr:revisionPtr revIDLastSave="0" documentId="13_ncr:1_{36DB5D45-E0EF-4F51-BE44-856D6A9844B0}" xr6:coauthVersionLast="46" xr6:coauthVersionMax="46" xr10:uidLastSave="{00000000-0000-0000-0000-000000000000}"/>
  <bookViews>
    <workbookView xWindow="-120" yWindow="330" windowWidth="29040" windowHeight="15990" activeTab="1" xr2:uid="{00000000-000D-0000-FFFF-FFFF00000000}"/>
  </bookViews>
  <sheets>
    <sheet name="Introdução de Dados Financeiros" sheetId="1" r:id="rId1"/>
    <sheet name="Relatório Financeiro" sheetId="3" r:id="rId2"/>
    <sheet name="3080" sheetId="4" state="hidden" r:id="rId3"/>
    <sheet name="itau covid" sheetId="5" state="hidden" r:id="rId4"/>
    <sheet name="Planilha1" sheetId="6" state="hidden" r:id="rId5"/>
    <sheet name="Cálculos" sheetId="2" state="hidden" r:id="rId6"/>
  </sheets>
  <definedNames>
    <definedName name="Anos">Cálculos!$I$6</definedName>
    <definedName name="AnoSelecionado">'Relatório Financeiro'!#REF!</definedName>
    <definedName name="_xlnm.Print_Area" localSheetId="1">'Relatório Financeiro'!$A$1:$E$35</definedName>
    <definedName name="ÚltimasMétricas">OFFSET('Introdução de Dados Financeiros'!$B$6:$B$23,0,0,COUNTA('Introdução de Dados Financeiros'!$B$6:$B$23))</definedName>
    <definedName name="ÚltimosAnos">OFFSET('Introdução de Dados Financeiros'!$B$5:$C$5,0,1,1,COUNTA('Introdução de Dados Financeiros'!$B$5:$C$5)-1)</definedName>
  </definedNames>
  <calcPr calcId="191029"/>
</workbook>
</file>

<file path=xl/calcChain.xml><?xml version="1.0" encoding="utf-8"?>
<calcChain xmlns="http://schemas.openxmlformats.org/spreadsheetml/2006/main">
  <c r="D33" i="3" l="1"/>
  <c r="C8" i="1"/>
  <c r="N8" i="6"/>
  <c r="M4" i="6"/>
  <c r="M7" i="6"/>
  <c r="M5" i="6"/>
  <c r="M8" i="6"/>
  <c r="L5" i="6"/>
  <c r="L4" i="6"/>
  <c r="L7" i="6"/>
  <c r="L8" i="6"/>
  <c r="K5" i="6"/>
  <c r="N5" i="6" s="1"/>
  <c r="K7" i="6"/>
  <c r="K4" i="6"/>
  <c r="K8" i="6"/>
  <c r="J7" i="6"/>
  <c r="J4" i="6"/>
  <c r="J5" i="6"/>
  <c r="J8" i="6"/>
  <c r="I8" i="6"/>
  <c r="I4" i="6"/>
  <c r="N4" i="6" s="1"/>
  <c r="I7" i="6"/>
  <c r="G8" i="6"/>
  <c r="H8" i="6"/>
  <c r="H4" i="6"/>
  <c r="H7" i="6"/>
  <c r="G4" i="6"/>
  <c r="G7" i="6"/>
  <c r="G5" i="6"/>
  <c r="F4" i="6"/>
  <c r="F5" i="6"/>
  <c r="F7" i="6"/>
  <c r="N6" i="6"/>
  <c r="F8" i="6"/>
  <c r="E4" i="6"/>
  <c r="E5" i="6"/>
  <c r="E7" i="6"/>
  <c r="D7" i="6"/>
  <c r="D5" i="6"/>
  <c r="C4" i="6"/>
  <c r="C5" i="6"/>
  <c r="B4" i="6"/>
  <c r="B7" i="6"/>
  <c r="B5" i="6"/>
  <c r="D34" i="3"/>
  <c r="N9" i="6" l="1"/>
  <c r="N10" i="6" s="1"/>
  <c r="N7" i="6"/>
  <c r="D35" i="3"/>
  <c r="B7" i="3"/>
  <c r="D12" i="5" l="1"/>
  <c r="D64" i="5"/>
  <c r="D47" i="5"/>
  <c r="D31" i="5"/>
  <c r="D20" i="5"/>
  <c r="B24" i="3" l="1"/>
  <c r="D30" i="3"/>
  <c r="B30" i="3"/>
  <c r="C6" i="1"/>
  <c r="C17" i="1"/>
  <c r="C10" i="1"/>
  <c r="C9" i="1"/>
  <c r="B29" i="3"/>
  <c r="C18" i="1"/>
  <c r="C14" i="1"/>
  <c r="C20" i="1"/>
  <c r="D28" i="3" s="1"/>
  <c r="C21" i="1"/>
  <c r="D29" i="3" s="1"/>
  <c r="B28" i="3"/>
  <c r="C12" i="1"/>
  <c r="G64" i="5"/>
  <c r="G15" i="5"/>
  <c r="D65" i="5" l="1"/>
  <c r="C8" i="5"/>
  <c r="B8" i="5"/>
  <c r="H15" i="5"/>
  <c r="I15" i="5"/>
  <c r="J15" i="5"/>
  <c r="K15" i="5"/>
  <c r="L15" i="5"/>
  <c r="M15" i="5"/>
  <c r="N15" i="5"/>
  <c r="O15" i="5"/>
  <c r="F15" i="5"/>
  <c r="D19" i="4"/>
  <c r="H14" i="4"/>
  <c r="F12" i="4"/>
  <c r="N10" i="4"/>
  <c r="M10" i="4"/>
  <c r="J10" i="4"/>
  <c r="R9" i="4"/>
  <c r="I9" i="4"/>
  <c r="P15" i="5" l="1"/>
  <c r="F65" i="5"/>
  <c r="G65" i="5" s="1"/>
  <c r="G66" i="5" s="1"/>
  <c r="F19" i="4"/>
  <c r="F20" i="4" s="1"/>
  <c r="F22" i="4" s="1"/>
  <c r="B27" i="3" l="1"/>
  <c r="D26" i="3"/>
  <c r="D25" i="3"/>
  <c r="B25" i="3"/>
  <c r="C7" i="1"/>
  <c r="C13" i="1"/>
  <c r="Z24" i="1" l="1"/>
  <c r="D24" i="3" l="1"/>
  <c r="C19" i="1"/>
  <c r="D27" i="3" l="1"/>
  <c r="C23" i="1"/>
  <c r="D23" i="3"/>
  <c r="B23" i="3"/>
  <c r="D22" i="3"/>
  <c r="D16" i="3" l="1"/>
  <c r="D17" i="3"/>
  <c r="D18" i="3"/>
  <c r="D19" i="3"/>
  <c r="D20" i="3"/>
  <c r="D21" i="3"/>
  <c r="D15" i="3"/>
  <c r="D14" i="3"/>
  <c r="E14" i="3" l="1"/>
  <c r="E16" i="3"/>
  <c r="E21" i="3"/>
  <c r="E19" i="3"/>
  <c r="D31" i="3"/>
  <c r="E15" i="3" s="1"/>
  <c r="B39" i="2"/>
  <c r="A32" i="2"/>
  <c r="A33" i="2"/>
  <c r="A34" i="2"/>
  <c r="A35" i="2"/>
  <c r="A36" i="2"/>
  <c r="A37" i="2"/>
  <c r="A38" i="2"/>
  <c r="A39" i="2"/>
  <c r="B15" i="2"/>
  <c r="B14" i="3" s="1"/>
  <c r="B16" i="2"/>
  <c r="B15" i="3" s="1"/>
  <c r="B17" i="2"/>
  <c r="B16" i="3" s="1"/>
  <c r="B18" i="2"/>
  <c r="B17" i="3" s="1"/>
  <c r="B19" i="2"/>
  <c r="B18" i="3" s="1"/>
  <c r="B20" i="2"/>
  <c r="B19" i="3" s="1"/>
  <c r="B21" i="2"/>
  <c r="B20" i="3" s="1"/>
  <c r="B22" i="2"/>
  <c r="B21" i="3" s="1"/>
  <c r="B23" i="2"/>
  <c r="B22" i="3" s="1"/>
  <c r="B24" i="2"/>
  <c r="B25" i="2"/>
  <c r="B26" i="2"/>
  <c r="B27" i="2"/>
  <c r="B28" i="2"/>
  <c r="B29" i="2"/>
  <c r="A29" i="2"/>
  <c r="B9" i="2"/>
  <c r="A9" i="2" s="1"/>
  <c r="B10" i="2"/>
  <c r="A10" i="2" s="1"/>
  <c r="B11" i="2"/>
  <c r="A11" i="2" s="1"/>
  <c r="B12" i="2"/>
  <c r="A12" i="2" s="1"/>
  <c r="B8" i="2"/>
  <c r="A8" i="2" s="1"/>
  <c r="B30" i="2"/>
  <c r="B31" i="2"/>
  <c r="B32" i="2"/>
  <c r="B33" i="2"/>
  <c r="B34" i="2"/>
  <c r="B35" i="2"/>
  <c r="B36" i="2"/>
  <c r="B37" i="2"/>
  <c r="B38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30" i="2"/>
  <c r="A31" i="2"/>
  <c r="A15" i="2"/>
  <c r="C3" i="2"/>
  <c r="C4" i="2" s="1"/>
  <c r="D4" i="2" s="1"/>
  <c r="E29" i="3" l="1"/>
  <c r="E28" i="3"/>
  <c r="E30" i="3"/>
  <c r="E26" i="3"/>
  <c r="E25" i="3"/>
  <c r="E24" i="3"/>
  <c r="E22" i="3"/>
  <c r="E23" i="3"/>
  <c r="E27" i="3"/>
  <c r="E17" i="3"/>
  <c r="E20" i="3"/>
  <c r="E31" i="3" s="1"/>
  <c r="E18" i="3"/>
  <c r="E38" i="2"/>
  <c r="D38" i="2"/>
  <c r="D3" i="2"/>
  <c r="G7" i="2"/>
  <c r="F36" i="2"/>
  <c r="G32" i="2"/>
  <c r="D36" i="2"/>
  <c r="E37" i="2"/>
  <c r="C36" i="2"/>
  <c r="D34" i="2"/>
  <c r="D31" i="2"/>
  <c r="D32" i="2"/>
  <c r="D30" i="2"/>
  <c r="D37" i="2"/>
  <c r="G33" i="2"/>
  <c r="E36" i="2"/>
  <c r="D33" i="2"/>
  <c r="C30" i="2"/>
  <c r="C32" i="2"/>
  <c r="C33" i="2"/>
  <c r="E30" i="2"/>
  <c r="C34" i="2"/>
  <c r="E34" i="2"/>
  <c r="C35" i="2"/>
  <c r="E32" i="2"/>
  <c r="C38" i="2"/>
  <c r="G30" i="2"/>
  <c r="F30" i="2"/>
  <c r="G34" i="2"/>
  <c r="F34" i="2"/>
  <c r="E31" i="2"/>
  <c r="F35" i="2"/>
  <c r="F32" i="2"/>
  <c r="G36" i="2"/>
  <c r="G37" i="2"/>
  <c r="G38" i="2"/>
  <c r="F38" i="2"/>
  <c r="G35" i="2"/>
  <c r="G31" i="2"/>
  <c r="F29" i="2"/>
  <c r="E29" i="2"/>
  <c r="G29" i="2"/>
  <c r="C29" i="2"/>
  <c r="D29" i="2"/>
  <c r="F33" i="2"/>
  <c r="E33" i="2"/>
  <c r="F31" i="2"/>
  <c r="C31" i="2"/>
  <c r="E35" i="2"/>
  <c r="D35" i="2"/>
  <c r="F37" i="2"/>
  <c r="C37" i="2"/>
  <c r="G39" i="2"/>
  <c r="C39" i="2"/>
  <c r="F39" i="2"/>
  <c r="D39" i="2"/>
  <c r="E39" i="2"/>
  <c r="G6" i="2" l="1"/>
  <c r="F7" i="2"/>
  <c r="F6" i="2" l="1"/>
  <c r="E7" i="2"/>
  <c r="G10" i="2"/>
  <c r="G9" i="2"/>
  <c r="G16" i="2"/>
  <c r="G17" i="2"/>
  <c r="G22" i="2"/>
  <c r="G26" i="2"/>
  <c r="G23" i="2"/>
  <c r="G20" i="2"/>
  <c r="G15" i="2"/>
  <c r="G12" i="2"/>
  <c r="G11" i="2"/>
  <c r="G8" i="2"/>
  <c r="G25" i="2"/>
  <c r="G21" i="2"/>
  <c r="G18" i="2"/>
  <c r="G27" i="2"/>
  <c r="G19" i="2"/>
  <c r="G24" i="2"/>
  <c r="G28" i="2"/>
  <c r="E6" i="2" l="1"/>
  <c r="D7" i="2"/>
  <c r="F9" i="2"/>
  <c r="H9" i="2" s="1"/>
  <c r="F10" i="2"/>
  <c r="H10" i="2" s="1"/>
  <c r="F15" i="2"/>
  <c r="F27" i="2"/>
  <c r="F23" i="2"/>
  <c r="F19" i="2"/>
  <c r="F28" i="2"/>
  <c r="F20" i="2"/>
  <c r="F11" i="2"/>
  <c r="H11" i="2" s="1"/>
  <c r="F12" i="2"/>
  <c r="H12" i="2" s="1"/>
  <c r="F8" i="2"/>
  <c r="H8" i="2" s="1"/>
  <c r="F25" i="2"/>
  <c r="F21" i="2"/>
  <c r="F17" i="2"/>
  <c r="F26" i="2"/>
  <c r="F22" i="2"/>
  <c r="F18" i="2"/>
  <c r="F24" i="2"/>
  <c r="F16" i="2"/>
  <c r="D6" i="2" l="1"/>
  <c r="C7" i="2"/>
  <c r="C6" i="2" s="1"/>
  <c r="E10" i="2"/>
  <c r="E9" i="2"/>
  <c r="E16" i="2"/>
  <c r="E15" i="2"/>
  <c r="E22" i="2"/>
  <c r="E21" i="2"/>
  <c r="E18" i="2"/>
  <c r="E27" i="2"/>
  <c r="E19" i="2"/>
  <c r="E24" i="2"/>
  <c r="E12" i="2"/>
  <c r="E11" i="2"/>
  <c r="E8" i="2"/>
  <c r="E17" i="2"/>
  <c r="E25" i="2"/>
  <c r="E26" i="2"/>
  <c r="E23" i="2"/>
  <c r="E28" i="2"/>
  <c r="E20" i="2"/>
  <c r="I6" i="2" l="1"/>
  <c r="C10" i="2"/>
  <c r="C9" i="2"/>
  <c r="C16" i="2"/>
  <c r="C18" i="2"/>
  <c r="C17" i="2"/>
  <c r="C15" i="2"/>
  <c r="C27" i="2"/>
  <c r="C19" i="2"/>
  <c r="C24" i="2"/>
  <c r="C12" i="2"/>
  <c r="C11" i="2"/>
  <c r="C8" i="2"/>
  <c r="C26" i="2"/>
  <c r="C21" i="2"/>
  <c r="C25" i="2"/>
  <c r="C22" i="2"/>
  <c r="C23" i="2"/>
  <c r="C28" i="2"/>
  <c r="C20" i="2"/>
  <c r="D9" i="2"/>
  <c r="D10" i="2"/>
  <c r="D16" i="2"/>
  <c r="D22" i="2"/>
  <c r="D15" i="2"/>
  <c r="D26" i="2"/>
  <c r="D27" i="2"/>
  <c r="D19" i="2"/>
  <c r="D24" i="2"/>
  <c r="D11" i="2"/>
  <c r="D12" i="2"/>
  <c r="D8" i="2"/>
  <c r="D25" i="2"/>
  <c r="D17" i="2"/>
  <c r="D21" i="2"/>
  <c r="D18" i="2"/>
  <c r="D23" i="2"/>
  <c r="D28" i="2"/>
  <c r="D20" i="2"/>
</calcChain>
</file>

<file path=xl/sharedStrings.xml><?xml version="1.0" encoding="utf-8"?>
<sst xmlns="http://schemas.openxmlformats.org/spreadsheetml/2006/main" count="135" uniqueCount="100">
  <si>
    <t>Toque para ver o Relatório Financeiro</t>
  </si>
  <si>
    <t>Esta folha é utilizada para os cálculos do Relatório Financeiro e deverá permanecer oculta.</t>
  </si>
  <si>
    <t>Este ano</t>
  </si>
  <si>
    <t>Ano anterior</t>
  </si>
  <si>
    <t>Posição</t>
  </si>
  <si>
    <t>Métricas Principais</t>
  </si>
  <si>
    <t>Todas as Métricas (funciona com até 25 métricas)</t>
  </si>
  <si>
    <t>Cargo</t>
  </si>
  <si>
    <t>AÇÃO SOCIAL ARQUIDIOCESANA DE PALMAS</t>
  </si>
  <si>
    <t>ALIMENTAÇÃO</t>
  </si>
  <si>
    <t>RECURSOS HUMANOS</t>
  </si>
  <si>
    <t>MANUNTENÇÃO PREDIAL</t>
  </si>
  <si>
    <t>HONORÁRIOS CONTÁBEIS</t>
  </si>
  <si>
    <t>PRESTAÇÃO DE SERVIÇOS PJ</t>
  </si>
  <si>
    <t>DESPESAS</t>
  </si>
  <si>
    <t>VALOR</t>
  </si>
  <si>
    <t xml:space="preserve">% </t>
  </si>
  <si>
    <t>DESPESAS COM VEICULOS(SEGURO,MANUTENÇÃO, (COMBUSTÍVEL-Kombi, Hilux, voyage, Pastoral da Criança, ajuda para outros colaboradores ))</t>
  </si>
  <si>
    <t>DESPESAS FIXAS (energia, água, telefone)</t>
  </si>
  <si>
    <t>DESPESAS COM CESTAS  E NECESSIDADES BÁSICAS</t>
  </si>
  <si>
    <t>MATERIAL PARA OFICINAS</t>
  </si>
  <si>
    <t>INSUMOS E MATERIAIS PARA HORTA</t>
  </si>
  <si>
    <t>Total</t>
  </si>
  <si>
    <t>Saldo Reprogramado para 2021</t>
  </si>
  <si>
    <t>FIA</t>
  </si>
  <si>
    <t>Recursos Próprios</t>
  </si>
  <si>
    <t>MATERIAL PARA ENVOVAL</t>
  </si>
  <si>
    <t>conta</t>
  </si>
  <si>
    <t>maio</t>
  </si>
  <si>
    <t>junho</t>
  </si>
  <si>
    <t>julho</t>
  </si>
  <si>
    <t>agosto</t>
  </si>
  <si>
    <t>setembro</t>
  </si>
  <si>
    <t>Dezembro</t>
  </si>
  <si>
    <t>combustivel</t>
  </si>
  <si>
    <t>Telefone</t>
  </si>
  <si>
    <t>Seturb</t>
  </si>
  <si>
    <t>energia</t>
  </si>
  <si>
    <t>toner</t>
  </si>
  <si>
    <t>Mat artesanato</t>
  </si>
  <si>
    <t>agua</t>
  </si>
  <si>
    <t>catorio</t>
  </si>
  <si>
    <t>Manutenção predial</t>
  </si>
  <si>
    <t>PJ</t>
  </si>
  <si>
    <t>seguro</t>
  </si>
  <si>
    <t>Material horta</t>
  </si>
  <si>
    <t>tarifas</t>
  </si>
  <si>
    <t>rendimentos</t>
  </si>
  <si>
    <t>saldo em conta</t>
  </si>
  <si>
    <t>ok</t>
  </si>
  <si>
    <t>MATERIAL DE INFORMÁTICA</t>
  </si>
  <si>
    <t>OK</t>
  </si>
  <si>
    <t>CARTÓRIO</t>
  </si>
  <si>
    <t>MANUNTENÇÃO DE EQUIPAMENTOS</t>
  </si>
  <si>
    <t>SALDO TOTAL PARA 2021</t>
  </si>
  <si>
    <t>Doação</t>
  </si>
  <si>
    <t>Total Despesas</t>
  </si>
  <si>
    <t>sobra</t>
  </si>
  <si>
    <t>Manutenção de equip</t>
  </si>
  <si>
    <t>Taxas predio</t>
  </si>
  <si>
    <t>Combustivel</t>
  </si>
  <si>
    <t>RH</t>
  </si>
  <si>
    <t>Contador</t>
  </si>
  <si>
    <t>Manute equip</t>
  </si>
  <si>
    <t>outubro</t>
  </si>
  <si>
    <t>manuten site</t>
  </si>
  <si>
    <t>Manute veiculos</t>
  </si>
  <si>
    <t>inform</t>
  </si>
  <si>
    <t>Cestas</t>
  </si>
  <si>
    <t>novembro</t>
  </si>
  <si>
    <t>dezembro</t>
  </si>
  <si>
    <t>alimentação</t>
  </si>
  <si>
    <t>saldo bancario 12/2020</t>
  </si>
  <si>
    <t>Repasse</t>
  </si>
  <si>
    <t>despesas ADM</t>
  </si>
  <si>
    <t>saldo</t>
  </si>
  <si>
    <t>diferença</t>
  </si>
  <si>
    <t>TARIFAS BANCÁRIAS</t>
  </si>
  <si>
    <t>IMPOSTOS E TAXAS MUNICIPAIS</t>
  </si>
  <si>
    <t>EDP, REPAM,FNS, FIA, Kindermissiowerk, Recursos Próprios, Itaú Social</t>
  </si>
  <si>
    <t>Pagto velas/material de artesanato</t>
  </si>
  <si>
    <t>MANUTENÇÃO SITE</t>
  </si>
  <si>
    <t>ENTRADAS</t>
  </si>
  <si>
    <t xml:space="preserve">    RELATÓRIO GERENCIAL ANUAL</t>
  </si>
  <si>
    <t xml:space="preserve"> ANO 2020</t>
  </si>
  <si>
    <t>TOTAL</t>
  </si>
  <si>
    <t>Fevereiro</t>
  </si>
  <si>
    <t>Contas</t>
  </si>
  <si>
    <t>Janeiro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</si>
  <si>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</si>
  <si>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</si>
  <si>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</si>
  <si>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</si>
  <si>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</si>
  <si>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</si>
  <si>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</si>
  <si>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</si>
  <si>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</si>
  <si>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Tarifas 2020 ASAP</t>
  </si>
  <si>
    <t>MATERIAL PARA ENXOVAL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</si>
</sst>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\ &quot;€&quot;;\-#,##0\ &quot;€&quot;"/>
    <numFmt numFmtId="165" formatCode="_ &quot;₹&quot;\ * #,##0_ ;_ &quot;₹&quot;\ * \-#,##0_ ;_ &quot;₹&quot;\ * &quot;-&quot;_ ;_ @_ "/>
    <numFmt numFmtId="166" formatCode="_ * #,##0_ ;_ * \-#,##0_ ;_ * &quot;-&quot;_ ;_ @_ "/>
    <numFmt numFmtId="167" formatCode="_ &quot;₹&quot;\ * #,##0.00_ ;_ &quot;₹&quot;\ * \-#,##0.00_ ;_ &quot;₹&quot;\ * &quot;-&quot;??_ ;_ @_ "/>
    <numFmt numFmtId="168" formatCode="_ * #,##0.00_ ;_ * \-#,##0.00_ ;_ * &quot;-&quot;??_ ;_ @_ "/>
    <numFmt numFmtId="169" formatCode="_-[$R$-416]* #,##0.00_-;\-[$R$-416]* #,##0.00_-;_-[$R$-416]* &quot;-&quot;??_-;_-@_-"/>
    <numFmt numFmtId="170" formatCode="0.000%"/>
  </numFmts>
  <fonts count="23" x14ac:knownFonts="1">
    <font>
      <sz val="11"/>
      <color theme="1" tint="0.34998626667073579"/>
      <name val="Trebuchet MS"/>
      <family val="2"/>
      <scheme val="maj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8"/>
      <color theme="1" tint="0.34998626667073579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1"/>
      <color theme="1" tint="0.34998626667073579"/>
      <name val="Trebuchet MS"/>
      <family val="2"/>
      <scheme val="major"/>
    </font>
    <font>
      <sz val="12"/>
      <color theme="1" tint="0.34998626667073579"/>
      <name val="Arial"/>
      <family val="2"/>
      <scheme val="minor"/>
    </font>
    <font>
      <sz val="20"/>
      <color theme="1" tint="0.34998626667073579"/>
      <name val="Arial"/>
      <family val="2"/>
      <scheme val="minor"/>
    </font>
    <font>
      <i/>
      <u/>
      <sz val="11"/>
      <color theme="4" tint="-0.499984740745262"/>
      <name val="Arial"/>
      <family val="2"/>
      <scheme val="minor"/>
    </font>
    <font>
      <i/>
      <sz val="11"/>
      <color theme="4" tint="-0.499984740745262"/>
      <name val="Arial"/>
      <family val="2"/>
      <scheme val="minor"/>
    </font>
    <font>
      <sz val="14"/>
      <color theme="1" tint="0.34998626667073579"/>
      <name val="Trebuchet MS"/>
      <family val="2"/>
      <scheme val="major"/>
    </font>
    <font>
      <sz val="14"/>
      <color theme="3" tint="0.34998626667073579"/>
      <name val="Arial"/>
      <family val="2"/>
      <scheme val="minor"/>
    </font>
    <font>
      <sz val="24"/>
      <color theme="4" tint="-0.499984740745262"/>
      <name val="Trebuchet MS"/>
      <family val="2"/>
      <scheme val="major"/>
    </font>
    <font>
      <b/>
      <sz val="11"/>
      <color theme="1" tint="0.34998626667073579"/>
      <name val="Trebuchet MS"/>
      <family val="2"/>
      <scheme val="major"/>
    </font>
    <font>
      <b/>
      <u/>
      <sz val="11"/>
      <color theme="1" tint="0.34998626667073579"/>
      <name val="Trebuchet MS"/>
      <family val="2"/>
      <scheme val="major"/>
    </font>
    <font>
      <u/>
      <sz val="11"/>
      <color theme="1" tint="0.34998626667073579"/>
      <name val="Trebuchet MS"/>
      <family val="2"/>
      <scheme val="major"/>
    </font>
    <font>
      <sz val="12"/>
      <color theme="1" tint="0.34998626667073579"/>
      <name val="Trebuchet MS"/>
      <family val="2"/>
      <scheme val="major"/>
    </font>
    <font>
      <sz val="12"/>
      <color rgb="FFFF0000"/>
      <name val="Trebuchet MS"/>
      <family val="2"/>
      <scheme val="major"/>
    </font>
    <font>
      <sz val="10"/>
      <color theme="1" tint="0.34998626667073579"/>
      <name val="Trebuchet MS"/>
      <family val="2"/>
      <scheme val="major"/>
    </font>
    <font>
      <sz val="11"/>
      <color rgb="FFFF0000"/>
      <name val="Trebuchet MS"/>
      <family val="2"/>
      <scheme val="major"/>
    </font>
    <font>
      <b/>
      <sz val="18"/>
      <color theme="1" tint="0.34998626667073579"/>
      <name val="Arial"/>
      <family val="2"/>
      <scheme val="minor"/>
    </font>
    <font>
      <b/>
      <sz val="12"/>
      <color theme="1" tint="0.34998626667073579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dashed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4" tint="-0.499984740745262"/>
      </top>
      <bottom style="double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1" tint="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medium">
        <color theme="1" tint="0.34998626667073579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 applyFill="0" applyBorder="0">
      <alignment vertical="center" wrapText="1"/>
    </xf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11" applyNumberFormat="0" applyFill="0" applyProtection="0">
      <alignment vertical="center"/>
    </xf>
    <xf numFmtId="0" fontId="4" fillId="0" borderId="0" applyNumberFormat="0" applyFill="0" applyBorder="0" applyAlignment="0" applyProtection="0"/>
    <xf numFmtId="0" fontId="3" fillId="3" borderId="0">
      <alignment horizontal="center" vertical="center"/>
    </xf>
    <xf numFmtId="164" fontId="8" fillId="0" borderId="1">
      <alignment horizontal="center" vertical="center"/>
    </xf>
    <xf numFmtId="9" fontId="7" fillId="0" borderId="0">
      <alignment horizontal="left" vertical="center" inden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168" fontId="6" fillId="0" borderId="0" applyFill="0" applyBorder="0" applyAlignment="0" applyProtection="0"/>
    <xf numFmtId="166" fontId="6" fillId="0" borderId="0" applyFill="0" applyBorder="0" applyAlignment="0" applyProtection="0"/>
    <xf numFmtId="167" fontId="6" fillId="0" borderId="0" applyFill="0" applyBorder="0" applyAlignment="0" applyProtection="0"/>
    <xf numFmtId="165" fontId="6" fillId="0" borderId="0" applyFill="0" applyBorder="0" applyAlignment="0" applyProtection="0"/>
    <xf numFmtId="0" fontId="6" fillId="2" borderId="10" applyNumberFormat="0" applyAlignment="0" applyProtection="0"/>
    <xf numFmtId="0" fontId="1" fillId="0" borderId="12" applyNumberFormat="0" applyFill="0" applyAlignment="0" applyProtection="0"/>
  </cellStyleXfs>
  <cellXfs count="152">
    <xf numFmtId="0" fontId="0" fillId="0" borderId="0" xfId="0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11" fillId="0" borderId="11" xfId="3">
      <alignment vertical="center"/>
    </xf>
    <xf numFmtId="0" fontId="0" fillId="0" borderId="0" xfId="0" applyBorder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1" fillId="0" borderId="11" xfId="3" applyAlignment="1">
      <alignment horizontal="center"/>
    </xf>
    <xf numFmtId="0" fontId="0" fillId="0" borderId="0" xfId="0" applyBorder="1" applyAlignment="1" applyProtection="1">
      <alignment horizontal="left" vertical="center" indent="1"/>
      <protection locked="0"/>
    </xf>
    <xf numFmtId="0" fontId="0" fillId="0" borderId="0" xfId="0" applyProtection="1">
      <alignment vertical="center" wrapText="1"/>
      <protection locked="0"/>
    </xf>
    <xf numFmtId="0" fontId="11" fillId="0" borderId="6" xfId="3" applyBorder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0" fillId="0" borderId="0" xfId="0" applyBorder="1" applyProtection="1">
      <alignment vertical="center" wrapText="1"/>
      <protection locked="0"/>
    </xf>
    <xf numFmtId="0" fontId="3" fillId="3" borderId="13" xfId="5" applyFont="1" applyBorder="1" applyAlignment="1" applyProtection="1">
      <alignment horizontal="center" vertical="center" wrapText="1"/>
    </xf>
    <xf numFmtId="0" fontId="11" fillId="0" borderId="0" xfId="3" applyBorder="1" applyProtection="1">
      <alignment vertical="center"/>
      <protection locked="0"/>
    </xf>
    <xf numFmtId="0" fontId="3" fillId="3" borderId="5" xfId="0" applyFont="1" applyFill="1" applyBorder="1" applyAlignment="1" applyProtection="1">
      <alignment horizontal="left" vertical="center" indent="1"/>
      <protection locked="0"/>
    </xf>
    <xf numFmtId="0" fontId="0" fillId="0" borderId="14" xfId="0" applyBorder="1" applyAlignment="1" applyProtection="1">
      <alignment horizontal="left" vertical="center" indent="1"/>
      <protection locked="0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0" xfId="0" applyNumberFormat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left" indent="1"/>
      <protection locked="0"/>
    </xf>
    <xf numFmtId="164" fontId="8" fillId="0" borderId="0" xfId="6" applyNumberFormat="1" applyBorder="1" applyProtection="1">
      <alignment horizontal="center" vertical="center"/>
    </xf>
    <xf numFmtId="9" fontId="7" fillId="0" borderId="0" xfId="7" applyBorder="1" applyAlignment="1" applyProtection="1">
      <alignment horizontal="left" vertical="center" indent="2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69" fontId="6" fillId="0" borderId="0" xfId="13" applyNumberFormat="1" applyBorder="1" applyAlignment="1" applyProtection="1">
      <alignment horizontal="right" vertical="center"/>
      <protection locked="0"/>
    </xf>
    <xf numFmtId="0" fontId="3" fillId="4" borderId="0" xfId="0" applyFont="1" applyFill="1" applyBorder="1" applyAlignment="1">
      <alignment horizontal="left" vertical="center" wrapText="1" indent="1"/>
    </xf>
    <xf numFmtId="0" fontId="3" fillId="4" borderId="0" xfId="5" applyFill="1" applyBorder="1" applyAlignment="1" applyProtection="1">
      <alignment horizontal="center" vertical="center" wrapText="1"/>
    </xf>
    <xf numFmtId="169" fontId="6" fillId="0" borderId="15" xfId="13" applyNumberFormat="1" applyFill="1" applyBorder="1" applyAlignment="1">
      <alignment vertical="center"/>
    </xf>
    <xf numFmtId="164" fontId="8" fillId="4" borderId="0" xfId="6" applyNumberFormat="1" applyFill="1" applyBorder="1" applyAlignment="1" applyProtection="1">
      <alignment horizontal="center" vertical="center"/>
    </xf>
    <xf numFmtId="9" fontId="7" fillId="4" borderId="0" xfId="7" applyFill="1" applyBorder="1" applyAlignment="1" applyProtection="1">
      <alignment horizontal="left" vertical="center" indent="2"/>
    </xf>
    <xf numFmtId="0" fontId="0" fillId="4" borderId="0" xfId="0" applyFill="1" applyBorder="1" applyAlignment="1" applyProtection="1">
      <protection locked="0"/>
    </xf>
    <xf numFmtId="0" fontId="0" fillId="4" borderId="0" xfId="0" applyFill="1" applyBorder="1" applyProtection="1">
      <alignment vertical="center" wrapText="1"/>
      <protection locked="0"/>
    </xf>
    <xf numFmtId="169" fontId="8" fillId="0" borderId="9" xfId="6" applyNumberFormat="1" applyBorder="1" applyAlignment="1" applyProtection="1">
      <alignment horizontal="center" vertical="center"/>
    </xf>
    <xf numFmtId="169" fontId="6" fillId="0" borderId="4" xfId="13" applyNumberFormat="1" applyFill="1" applyBorder="1" applyAlignment="1">
      <alignment vertical="center"/>
    </xf>
    <xf numFmtId="169" fontId="0" fillId="0" borderId="0" xfId="0" applyNumberFormat="1" applyBorder="1" applyAlignment="1" applyProtection="1">
      <alignment horizontal="right" vertical="center"/>
      <protection locked="0"/>
    </xf>
    <xf numFmtId="169" fontId="0" fillId="0" borderId="0" xfId="0" applyNumberFormat="1">
      <alignment vertical="center" wrapText="1"/>
    </xf>
    <xf numFmtId="0" fontId="0" fillId="0" borderId="0" xfId="0" applyBorder="1" applyAlignment="1" applyProtection="1">
      <alignment horizontal="left" vertical="center" wrapText="1" indent="1"/>
      <protection locked="0"/>
    </xf>
    <xf numFmtId="168" fontId="6" fillId="0" borderId="0" xfId="11" applyAlignment="1">
      <alignment horizontal="left" vertical="center" indent="1"/>
    </xf>
    <xf numFmtId="169" fontId="6" fillId="0" borderId="14" xfId="13" applyNumberFormat="1" applyBorder="1" applyAlignment="1" applyProtection="1">
      <alignment horizontal="right" vertical="center"/>
      <protection locked="0"/>
    </xf>
    <xf numFmtId="0" fontId="0" fillId="5" borderId="0" xfId="0" applyFill="1" applyBorder="1" applyAlignment="1" applyProtection="1">
      <alignment horizontal="left" vertical="center" indent="1"/>
      <protection locked="0"/>
    </xf>
    <xf numFmtId="169" fontId="0" fillId="0" borderId="4" xfId="0" applyNumberFormat="1" applyFill="1" applyBorder="1" applyAlignment="1">
      <alignment vertical="center"/>
    </xf>
    <xf numFmtId="0" fontId="14" fillId="0" borderId="19" xfId="0" applyFont="1" applyBorder="1" applyAlignment="1" applyProtection="1">
      <alignment horizontal="left" vertical="center" indent="1"/>
      <protection locked="0"/>
    </xf>
    <xf numFmtId="169" fontId="14" fillId="0" borderId="19" xfId="13" applyNumberFormat="1" applyFont="1" applyBorder="1" applyAlignment="1" applyProtection="1">
      <alignment horizontal="right" vertical="center"/>
      <protection locked="0"/>
    </xf>
    <xf numFmtId="0" fontId="0" fillId="4" borderId="0" xfId="0" applyFill="1" applyBorder="1" applyAlignment="1" applyProtection="1">
      <alignment horizontal="left" vertical="center" indent="1"/>
      <protection locked="0"/>
    </xf>
    <xf numFmtId="168" fontId="6" fillId="0" borderId="0" xfId="11" applyAlignment="1">
      <alignment vertical="center" wrapText="1"/>
    </xf>
    <xf numFmtId="0" fontId="0" fillId="0" borderId="20" xfId="0" applyFill="1" applyBorder="1" applyAlignment="1">
      <alignment horizontal="left" vertical="center" indent="1"/>
    </xf>
    <xf numFmtId="169" fontId="0" fillId="0" borderId="20" xfId="0" applyNumberFormat="1" applyFill="1" applyBorder="1" applyAlignment="1">
      <alignment vertical="center"/>
    </xf>
    <xf numFmtId="169" fontId="0" fillId="0" borderId="0" xfId="0" applyNumberFormat="1" applyFill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6" fillId="0" borderId="0" xfId="0" applyFont="1">
      <alignment vertical="center" wrapText="1"/>
    </xf>
    <xf numFmtId="168" fontId="17" fillId="4" borderId="0" xfId="11" applyFont="1" applyFill="1" applyAlignment="1">
      <alignment horizontal="left" vertical="center" indent="1"/>
    </xf>
    <xf numFmtId="0" fontId="17" fillId="4" borderId="0" xfId="0" applyFont="1" applyFill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168" fontId="17" fillId="0" borderId="0" xfId="11" applyFont="1" applyAlignment="1">
      <alignment horizontal="left" vertical="center" indent="1"/>
    </xf>
    <xf numFmtId="168" fontId="18" fillId="0" borderId="0" xfId="11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168" fontId="17" fillId="5" borderId="0" xfId="11" applyFont="1" applyFill="1" applyAlignment="1">
      <alignment horizontal="left" vertical="center" indent="1"/>
    </xf>
    <xf numFmtId="168" fontId="18" fillId="5" borderId="21" xfId="11" applyFont="1" applyFill="1" applyBorder="1" applyAlignment="1">
      <alignment horizontal="left" vertical="center" indent="1"/>
    </xf>
    <xf numFmtId="0" fontId="18" fillId="5" borderId="21" xfId="0" applyFont="1" applyFill="1" applyBorder="1" applyAlignment="1">
      <alignment horizontal="left" vertical="center" indent="1"/>
    </xf>
    <xf numFmtId="0" fontId="18" fillId="0" borderId="21" xfId="0" applyFont="1" applyBorder="1" applyAlignment="1">
      <alignment horizontal="left" vertical="center" indent="1"/>
    </xf>
    <xf numFmtId="0" fontId="17" fillId="0" borderId="0" xfId="0" applyFont="1">
      <alignment vertical="center" wrapText="1"/>
    </xf>
    <xf numFmtId="168" fontId="17" fillId="0" borderId="0" xfId="11" applyFont="1" applyAlignment="1">
      <alignment vertical="center" wrapText="1"/>
    </xf>
    <xf numFmtId="168" fontId="17" fillId="5" borderId="0" xfId="11" applyFont="1" applyFill="1" applyAlignment="1">
      <alignment vertical="center" wrapText="1"/>
    </xf>
    <xf numFmtId="0" fontId="17" fillId="5" borderId="0" xfId="0" applyFont="1" applyFill="1" applyAlignment="1">
      <alignment horizontal="left" vertical="center" indent="1"/>
    </xf>
    <xf numFmtId="168" fontId="17" fillId="5" borderId="0" xfId="0" applyNumberFormat="1" applyFont="1" applyFill="1">
      <alignment vertical="center" wrapText="1"/>
    </xf>
    <xf numFmtId="168" fontId="17" fillId="0" borderId="0" xfId="11" applyFont="1" applyFill="1" applyAlignment="1">
      <alignment vertical="center" wrapText="1"/>
    </xf>
    <xf numFmtId="168" fontId="18" fillId="0" borderId="0" xfId="11" applyFont="1" applyAlignment="1">
      <alignment vertical="center" wrapText="1"/>
    </xf>
    <xf numFmtId="43" fontId="17" fillId="0" borderId="0" xfId="0" applyNumberFormat="1" applyFont="1">
      <alignment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168" fontId="17" fillId="0" borderId="0" xfId="11" applyFont="1" applyAlignment="1">
      <alignment horizontal="left" vertical="center" wrapText="1" indent="1"/>
    </xf>
    <xf numFmtId="0" fontId="19" fillId="0" borderId="0" xfId="0" applyFont="1" applyAlignment="1">
      <alignment horizontal="left" vertical="center" indent="1"/>
    </xf>
    <xf numFmtId="168" fontId="19" fillId="0" borderId="0" xfId="11" applyFont="1" applyAlignment="1">
      <alignment horizontal="left" vertical="center" indent="1"/>
    </xf>
    <xf numFmtId="168" fontId="19" fillId="5" borderId="0" xfId="11" applyFont="1" applyFill="1" applyAlignment="1">
      <alignment vertical="center" wrapText="1"/>
    </xf>
    <xf numFmtId="168" fontId="19" fillId="0" borderId="0" xfId="11" applyFont="1" applyAlignment="1">
      <alignment vertical="center" wrapText="1"/>
    </xf>
    <xf numFmtId="0" fontId="19" fillId="0" borderId="0" xfId="0" applyFont="1">
      <alignment vertical="center" wrapText="1"/>
    </xf>
    <xf numFmtId="168" fontId="20" fillId="0" borderId="0" xfId="11" applyFont="1" applyAlignment="1">
      <alignment horizontal="left" vertical="center" indent="1"/>
    </xf>
    <xf numFmtId="168" fontId="6" fillId="0" borderId="0" xfId="11" applyFont="1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168" fontId="0" fillId="0" borderId="0" xfId="11" applyFont="1" applyAlignment="1">
      <alignment horizontal="left" vertical="center" indent="1"/>
    </xf>
    <xf numFmtId="0" fontId="0" fillId="0" borderId="0" xfId="0" applyFont="1">
      <alignment vertical="center" wrapText="1"/>
    </xf>
    <xf numFmtId="168" fontId="0" fillId="0" borderId="0" xfId="11" applyFont="1" applyAlignment="1">
      <alignment vertical="center" wrapText="1"/>
    </xf>
    <xf numFmtId="0" fontId="19" fillId="5" borderId="0" xfId="0" applyFont="1" applyFill="1" applyAlignment="1">
      <alignment horizontal="left" vertical="center" indent="1"/>
    </xf>
    <xf numFmtId="168" fontId="19" fillId="5" borderId="0" xfId="0" applyNumberFormat="1" applyFont="1" applyFill="1">
      <alignment vertical="center" wrapText="1"/>
    </xf>
    <xf numFmtId="168" fontId="6" fillId="5" borderId="0" xfId="11" applyFill="1" applyAlignment="1">
      <alignment vertical="center" wrapText="1"/>
    </xf>
    <xf numFmtId="168" fontId="0" fillId="5" borderId="0" xfId="0" applyNumberFormat="1" applyFill="1">
      <alignment vertical="center" wrapText="1"/>
    </xf>
    <xf numFmtId="0" fontId="0" fillId="5" borderId="0" xfId="0" applyFill="1">
      <alignment vertical="center" wrapText="1"/>
    </xf>
    <xf numFmtId="168" fontId="20" fillId="0" borderId="0" xfId="0" applyNumberFormat="1" applyFont="1">
      <alignment vertical="center" wrapText="1"/>
    </xf>
    <xf numFmtId="168" fontId="20" fillId="5" borderId="0" xfId="0" applyNumberFormat="1" applyFont="1" applyFill="1">
      <alignment vertical="center" wrapText="1"/>
    </xf>
    <xf numFmtId="168" fontId="20" fillId="4" borderId="0" xfId="0" applyNumberFormat="1" applyFont="1" applyFill="1">
      <alignment vertical="center" wrapText="1"/>
    </xf>
    <xf numFmtId="43" fontId="0" fillId="0" borderId="0" xfId="0" applyNumberFormat="1">
      <alignment vertical="center" wrapText="1"/>
    </xf>
    <xf numFmtId="168" fontId="20" fillId="0" borderId="0" xfId="11" applyFont="1" applyAlignment="1">
      <alignment vertical="center" wrapText="1"/>
    </xf>
    <xf numFmtId="0" fontId="0" fillId="6" borderId="20" xfId="0" applyFill="1" applyBorder="1" applyAlignment="1">
      <alignment horizontal="left" vertical="center" indent="1"/>
    </xf>
    <xf numFmtId="169" fontId="0" fillId="6" borderId="20" xfId="0" applyNumberFormat="1" applyFill="1" applyBorder="1" applyAlignment="1">
      <alignment vertical="center"/>
    </xf>
    <xf numFmtId="0" fontId="0" fillId="6" borderId="0" xfId="0" applyFill="1" applyBorder="1" applyAlignment="1">
      <alignment horizontal="left" vertical="center" indent="1"/>
    </xf>
    <xf numFmtId="169" fontId="0" fillId="6" borderId="0" xfId="0" applyNumberFormat="1" applyFill="1" applyBorder="1" applyAlignment="1">
      <alignment vertical="center" wrapText="1"/>
    </xf>
    <xf numFmtId="170" fontId="0" fillId="0" borderId="0" xfId="1" applyNumberFormat="1" applyFont="1" applyFill="1" applyBorder="1" applyAlignment="1">
      <alignment horizontal="center" vertical="center"/>
    </xf>
    <xf numFmtId="168" fontId="17" fillId="6" borderId="0" xfId="11" applyFont="1" applyFill="1" applyAlignment="1">
      <alignment horizontal="left" vertical="center" indent="1"/>
    </xf>
    <xf numFmtId="0" fontId="17" fillId="6" borderId="0" xfId="0" applyFont="1" applyFill="1">
      <alignment vertical="center" wrapText="1"/>
    </xf>
    <xf numFmtId="168" fontId="17" fillId="6" borderId="0" xfId="11" applyFont="1" applyFill="1" applyAlignment="1">
      <alignment vertical="center" wrapText="1"/>
    </xf>
    <xf numFmtId="0" fontId="17" fillId="6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indent="1"/>
    </xf>
    <xf numFmtId="168" fontId="6" fillId="4" borderId="0" xfId="11" applyFill="1" applyAlignment="1">
      <alignment horizontal="left" vertical="center" indent="1"/>
    </xf>
    <xf numFmtId="43" fontId="0" fillId="4" borderId="0" xfId="0" applyNumberFormat="1" applyFill="1" applyAlignment="1">
      <alignment horizontal="left" vertical="center" indent="1"/>
    </xf>
    <xf numFmtId="168" fontId="18" fillId="4" borderId="0" xfId="11" applyFont="1" applyFill="1" applyAlignment="1">
      <alignment horizontal="left" vertical="center" indent="1"/>
    </xf>
    <xf numFmtId="0" fontId="18" fillId="4" borderId="0" xfId="0" applyFont="1" applyFill="1" applyAlignment="1">
      <alignment horizontal="left" vertical="center" indent="1"/>
    </xf>
    <xf numFmtId="168" fontId="18" fillId="4" borderId="0" xfId="11" applyFont="1" applyFill="1" applyBorder="1" applyAlignment="1">
      <alignment horizontal="left" vertical="center" indent="1"/>
    </xf>
    <xf numFmtId="0" fontId="18" fillId="4" borderId="0" xfId="0" applyFont="1" applyFill="1" applyBorder="1" applyAlignment="1">
      <alignment horizontal="left" vertical="center" indent="1"/>
    </xf>
    <xf numFmtId="0" fontId="17" fillId="4" borderId="0" xfId="0" applyFont="1" applyFill="1">
      <alignment vertical="center" wrapText="1"/>
    </xf>
    <xf numFmtId="168" fontId="17" fillId="4" borderId="0" xfId="11" applyFont="1" applyFill="1" applyAlignment="1">
      <alignment vertical="center" wrapText="1"/>
    </xf>
    <xf numFmtId="168" fontId="18" fillId="4" borderId="0" xfId="11" applyFont="1" applyFill="1" applyAlignment="1">
      <alignment vertical="center" wrapText="1"/>
    </xf>
    <xf numFmtId="43" fontId="17" fillId="4" borderId="0" xfId="0" applyNumberFormat="1" applyFont="1" applyFill="1">
      <alignment vertical="center" wrapText="1"/>
    </xf>
    <xf numFmtId="0" fontId="0" fillId="0" borderId="0" xfId="0" applyBorder="1" applyAlignment="1">
      <alignment horizontal="left" vertical="center" indent="1"/>
    </xf>
    <xf numFmtId="0" fontId="14" fillId="0" borderId="0" xfId="0" applyFont="1" applyBorder="1" applyAlignment="1">
      <alignment horizontal="right" vertical="center" wrapText="1"/>
    </xf>
    <xf numFmtId="169" fontId="14" fillId="0" borderId="0" xfId="11" applyNumberFormat="1" applyFont="1" applyBorder="1" applyAlignment="1">
      <alignment vertical="center" wrapText="1"/>
    </xf>
    <xf numFmtId="169" fontId="14" fillId="0" borderId="0" xfId="0" applyNumberFormat="1" applyFont="1" applyBorder="1">
      <alignment vertical="center" wrapText="1"/>
    </xf>
    <xf numFmtId="0" fontId="15" fillId="0" borderId="22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left" vertical="center" indent="1"/>
    </xf>
    <xf numFmtId="169" fontId="15" fillId="0" borderId="22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9" fontId="15" fillId="5" borderId="0" xfId="0" applyNumberFormat="1" applyFont="1" applyFill="1">
      <alignment vertical="center" wrapText="1"/>
    </xf>
    <xf numFmtId="168" fontId="0" fillId="0" borderId="0" xfId="0" applyNumberFormat="1">
      <alignment vertical="center" wrapText="1"/>
    </xf>
    <xf numFmtId="0" fontId="0" fillId="0" borderId="23" xfId="0" applyBorder="1">
      <alignment vertical="center" wrapText="1"/>
    </xf>
    <xf numFmtId="168" fontId="6" fillId="0" borderId="23" xfId="11" applyBorder="1" applyAlignment="1">
      <alignment vertical="center" wrapText="1"/>
    </xf>
    <xf numFmtId="168" fontId="0" fillId="0" borderId="23" xfId="0" applyNumberFormat="1" applyBorder="1">
      <alignment vertical="center" wrapText="1"/>
    </xf>
    <xf numFmtId="0" fontId="14" fillId="5" borderId="23" xfId="0" applyFont="1" applyFill="1" applyBorder="1">
      <alignment vertical="center" wrapText="1"/>
    </xf>
    <xf numFmtId="0" fontId="14" fillId="5" borderId="23" xfId="0" applyFont="1" applyFill="1" applyBorder="1" applyAlignment="1">
      <alignment vertical="center"/>
    </xf>
    <xf numFmtId="168" fontId="6" fillId="0" borderId="0" xfId="11" applyAlignment="1">
      <alignment horizontal="center" vertical="center" wrapText="1"/>
    </xf>
    <xf numFmtId="43" fontId="0" fillId="0" borderId="0" xfId="0" applyNumberFormat="1" applyAlignment="1">
      <alignment horizontal="left" vertical="center" indent="1"/>
    </xf>
    <xf numFmtId="10" fontId="6" fillId="0" borderId="15" xfId="1" applyNumberFormat="1" applyFont="1" applyFill="1" applyBorder="1" applyAlignment="1">
      <alignment horizontal="center" vertical="center"/>
    </xf>
    <xf numFmtId="9" fontId="6" fillId="0" borderId="14" xfId="1" applyNumberFormat="1" applyFont="1" applyFill="1" applyBorder="1" applyAlignment="1">
      <alignment horizontal="center" vertical="center"/>
    </xf>
    <xf numFmtId="0" fontId="13" fillId="0" borderId="0" xfId="2" applyAlignment="1" applyProtection="1">
      <alignment horizontal="center" wrapText="1"/>
      <protection locked="0"/>
    </xf>
    <xf numFmtId="0" fontId="21" fillId="0" borderId="0" xfId="4" applyFont="1" applyAlignment="1" applyProtection="1">
      <alignment vertical="top"/>
      <protection locked="0"/>
    </xf>
    <xf numFmtId="0" fontId="21" fillId="0" borderId="3" xfId="4" applyFont="1" applyBorder="1" applyAlignment="1" applyProtection="1">
      <alignment vertical="top"/>
      <protection locked="0"/>
    </xf>
    <xf numFmtId="0" fontId="3" fillId="3" borderId="16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 wrapText="1" indent="1"/>
    </xf>
    <xf numFmtId="0" fontId="0" fillId="0" borderId="4" xfId="0" applyFill="1" applyBorder="1" applyAlignment="1">
      <alignment horizontal="left" vertical="center" wrapText="1" indent="1"/>
    </xf>
    <xf numFmtId="0" fontId="0" fillId="0" borderId="18" xfId="0" applyBorder="1">
      <alignment vertical="center" wrapText="1"/>
    </xf>
    <xf numFmtId="9" fontId="22" fillId="0" borderId="7" xfId="1" applyNumberFormat="1" applyFont="1" applyBorder="1" applyAlignment="1" applyProtection="1">
      <alignment horizontal="center" vertical="center" wrapText="1"/>
    </xf>
    <xf numFmtId="9" fontId="22" fillId="0" borderId="2" xfId="1" applyNumberFormat="1" applyFont="1" applyBorder="1" applyAlignment="1" applyProtection="1">
      <alignment horizontal="center" vertical="center" wrapText="1"/>
    </xf>
    <xf numFmtId="9" fontId="22" fillId="0" borderId="8" xfId="1" applyNumberFormat="1" applyFont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left" vertical="center" indent="1"/>
    </xf>
    <xf numFmtId="0" fontId="0" fillId="0" borderId="4" xfId="0" applyFill="1" applyBorder="1" applyAlignment="1">
      <alignment horizontal="left" vertical="center" indent="1"/>
    </xf>
    <xf numFmtId="0" fontId="12" fillId="0" borderId="0" xfId="8" applyAlignment="1">
      <alignment vertical="center"/>
    </xf>
    <xf numFmtId="0" fontId="10" fillId="0" borderId="17" xfId="9" applyBorder="1" applyAlignment="1" applyProtection="1">
      <alignment horizontal="left" vertical="center"/>
      <protection locked="0"/>
    </xf>
    <xf numFmtId="0" fontId="13" fillId="0" borderId="0" xfId="2"/>
    <xf numFmtId="0" fontId="0" fillId="0" borderId="19" xfId="0" applyBorder="1" applyAlignment="1">
      <alignment horizontal="center" vertical="center" wrapText="1"/>
    </xf>
  </cellXfs>
  <cellStyles count="17">
    <cellStyle name="Cabeçalho da Métrica Principal" xfId="5" xr:uid="{00000000-0005-0000-0000-000000000000}"/>
    <cellStyle name="Hiperlink" xfId="9" builtinId="8" customBuiltin="1"/>
    <cellStyle name="Hiperlink Visitado" xfId="10" builtinId="9" customBuiltin="1"/>
    <cellStyle name="Moeda" xfId="13" builtinId="4" customBuiltin="1"/>
    <cellStyle name="Moeda [0]" xfId="14" builtinId="7" customBuiltin="1"/>
    <cellStyle name="Normal" xfId="0" builtinId="0" customBuiltin="1"/>
    <cellStyle name="Nota" xfId="15" builtinId="10" customBuiltin="1"/>
    <cellStyle name="Percentagem da Métrica Principal" xfId="7" xr:uid="{00000000-0005-0000-0000-000007000000}"/>
    <cellStyle name="Porcentagem" xfId="1" builtinId="5"/>
    <cellStyle name="Separador de milhares [0]" xfId="12" builtinId="6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8" builtinId="18" customBuiltin="1"/>
    <cellStyle name="Total" xfId="16" builtinId="25" customBuiltin="1"/>
    <cellStyle name="Valor da Métrica Principal" xfId="6" xr:uid="{00000000-0005-0000-0000-00000F000000}"/>
    <cellStyle name="Vírgula" xfId="11" builtinId="3" customBuiltin="1"/>
  </cellStyles>
  <dxfs count="3"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38100</xdr:rowOff>
    </xdr:from>
    <xdr:to>
      <xdr:col>1</xdr:col>
      <xdr:colOff>1581149</xdr:colOff>
      <xdr:row>3</xdr:row>
      <xdr:rowOff>209550</xdr:rowOff>
    </xdr:to>
    <xdr:pic>
      <xdr:nvPicPr>
        <xdr:cNvPr id="2" name="Imagem 1" descr="C:\Users\secretaria\Desktop\Logo Alterada\ASAP JPEG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2875"/>
          <a:ext cx="1590674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0</xdr:rowOff>
    </xdr:from>
    <xdr:to>
      <xdr:col>1</xdr:col>
      <xdr:colOff>1562100</xdr:colOff>
      <xdr:row>1</xdr:row>
      <xdr:rowOff>885825</xdr:rowOff>
    </xdr:to>
    <xdr:pic>
      <xdr:nvPicPr>
        <xdr:cNvPr id="2" name="Imagem 1" descr="C:\Users\secretaria\Desktop\Logo Alterada\ASAP JPEG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0"/>
          <a:ext cx="1590674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Trebuchet M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39997558519241921"/>
    <pageSetUpPr autoPageBreaks="0" fitToPage="1"/>
  </sheetPr>
  <dimension ref="B1:Z39"/>
  <sheetViews>
    <sheetView showGridLines="0" zoomScaleNormal="100" workbookViewId="0">
      <pane ySplit="5" topLeftCell="A21" activePane="bottomLeft" state="frozen"/>
      <selection pane="bottomLeft" activeCell="E7" sqref="E7"/>
    </sheetView>
  </sheetViews>
  <sheetFormatPr defaultRowHeight="30" customHeight="1" x14ac:dyDescent="0.3"/>
  <cols>
    <col min="1" max="1" width="1.625" customWidth="1"/>
    <col min="2" max="2" width="32.625" customWidth="1"/>
    <col min="3" max="3" width="17.25" customWidth="1"/>
    <col min="5" max="5" width="13.875" bestFit="1" customWidth="1"/>
    <col min="6" max="6" width="13.625" bestFit="1" customWidth="1"/>
    <col min="7" max="7" width="15.625" customWidth="1"/>
    <col min="8" max="8" width="12.75" customWidth="1"/>
    <col min="9" max="9" width="13.875" style="48" customWidth="1"/>
    <col min="10" max="10" width="18.5" customWidth="1"/>
    <col min="11" max="11" width="14" customWidth="1"/>
    <col min="12" max="12" width="12.125" customWidth="1"/>
    <col min="13" max="13" width="13.75" customWidth="1"/>
    <col min="14" max="14" width="16.75" customWidth="1"/>
    <col min="15" max="15" width="12.125" customWidth="1"/>
    <col min="17" max="17" width="14.25" customWidth="1"/>
    <col min="18" max="18" width="14.625" customWidth="1"/>
    <col min="19" max="19" width="12.625" customWidth="1"/>
    <col min="20" max="20" width="9.75" bestFit="1" customWidth="1"/>
    <col min="23" max="23" width="16.5" customWidth="1"/>
    <col min="26" max="26" width="13.125" customWidth="1"/>
  </cols>
  <sheetData>
    <row r="1" spans="2:26" ht="8.25" customHeight="1" x14ac:dyDescent="0.3">
      <c r="B1" s="150"/>
      <c r="C1" s="150"/>
    </row>
    <row r="2" spans="2:26" ht="38.25" customHeight="1" x14ac:dyDescent="0.3">
      <c r="B2" s="150"/>
      <c r="C2" s="150"/>
    </row>
    <row r="3" spans="2:26" ht="18" x14ac:dyDescent="0.3">
      <c r="B3" s="148"/>
      <c r="C3" s="148"/>
    </row>
    <row r="4" spans="2:26" ht="52.5" customHeight="1" x14ac:dyDescent="0.3">
      <c r="B4" s="149" t="s">
        <v>0</v>
      </c>
      <c r="C4" s="149"/>
    </row>
    <row r="5" spans="2:26" ht="25.5" customHeight="1" x14ac:dyDescent="0.3">
      <c r="B5" s="19" t="s">
        <v>14</v>
      </c>
      <c r="C5" s="27">
        <v>2020</v>
      </c>
    </row>
    <row r="6" spans="2:26" s="5" customFormat="1" ht="23.25" customHeight="1" x14ac:dyDescent="0.3">
      <c r="B6" s="20" t="s">
        <v>9</v>
      </c>
      <c r="C6" s="42">
        <f>500+500+4411.19+1868.8+200</f>
        <v>7479.99</v>
      </c>
      <c r="I6" s="41"/>
    </row>
    <row r="7" spans="2:26" s="5" customFormat="1" ht="39" customHeight="1" x14ac:dyDescent="0.3">
      <c r="B7" s="47" t="s">
        <v>52</v>
      </c>
      <c r="C7" s="38">
        <f>172.69</f>
        <v>172.69</v>
      </c>
      <c r="F7" s="106"/>
      <c r="G7" s="107"/>
      <c r="H7" s="107"/>
      <c r="I7" s="107"/>
      <c r="J7" s="106"/>
      <c r="K7" s="106"/>
      <c r="L7" s="106"/>
    </row>
    <row r="8" spans="2:26" s="5" customFormat="1" ht="45" customHeight="1" x14ac:dyDescent="0.3">
      <c r="B8" s="40" t="s">
        <v>19</v>
      </c>
      <c r="C8" s="28">
        <f>90000+6600+18030.36+381983.57+96</f>
        <v>496709.93</v>
      </c>
      <c r="E8" s="41"/>
      <c r="F8" s="107"/>
      <c r="G8" s="107"/>
      <c r="H8" s="107"/>
      <c r="I8" s="107"/>
      <c r="J8" s="106"/>
      <c r="K8" s="106"/>
      <c r="L8" s="106"/>
    </row>
    <row r="9" spans="2:26" s="5" customFormat="1" ht="87.75" customHeight="1" x14ac:dyDescent="0.3">
      <c r="B9" s="40" t="s">
        <v>17</v>
      </c>
      <c r="C9" s="38">
        <f>1337.66+3419.64+860+1732.1+1990.86+4605.66+3887.5+1744.87</f>
        <v>19578.289999999997</v>
      </c>
      <c r="E9" s="133"/>
      <c r="F9" s="106"/>
      <c r="G9" s="107"/>
      <c r="H9" s="107"/>
      <c r="I9" s="107"/>
      <c r="J9" s="106"/>
      <c r="K9" s="106"/>
      <c r="L9" s="106"/>
    </row>
    <row r="10" spans="2:26" s="5" customFormat="1" ht="30" customHeight="1" x14ac:dyDescent="0.3">
      <c r="B10" s="40" t="s">
        <v>18</v>
      </c>
      <c r="C10" s="28">
        <f>444.53+208.04+387.77+1049.41+1439.31+525.49+596.82</f>
        <v>4651.37</v>
      </c>
      <c r="F10" s="108"/>
      <c r="G10" s="107"/>
      <c r="H10" s="107"/>
      <c r="I10" s="107"/>
      <c r="J10" s="106"/>
      <c r="K10" s="106"/>
      <c r="L10" s="106"/>
    </row>
    <row r="11" spans="2:26" s="5" customFormat="1" ht="30" customHeight="1" x14ac:dyDescent="0.3">
      <c r="B11" s="12" t="s">
        <v>12</v>
      </c>
      <c r="C11" s="28">
        <v>6450</v>
      </c>
      <c r="D11" s="5" t="s">
        <v>28</v>
      </c>
      <c r="F11" s="106"/>
      <c r="G11" s="108"/>
      <c r="H11" s="107"/>
      <c r="I11" s="107"/>
      <c r="J11" s="106"/>
      <c r="K11" s="106"/>
      <c r="L11" s="106"/>
    </row>
    <row r="12" spans="2:26" s="5" customFormat="1" ht="30" customHeight="1" x14ac:dyDescent="0.3">
      <c r="B12" s="47" t="s">
        <v>78</v>
      </c>
      <c r="C12" s="38">
        <f>8298.72</f>
        <v>8298.7199999999993</v>
      </c>
      <c r="F12" s="107"/>
      <c r="G12" s="108"/>
      <c r="H12" s="108"/>
      <c r="I12" s="107"/>
      <c r="J12" s="106"/>
      <c r="K12" s="106"/>
      <c r="L12" s="106"/>
    </row>
    <row r="13" spans="2:26" s="5" customFormat="1" ht="48.75" customHeight="1" x14ac:dyDescent="0.3">
      <c r="B13" s="12" t="s">
        <v>21</v>
      </c>
      <c r="C13" s="28">
        <f>5217+725</f>
        <v>5942</v>
      </c>
      <c r="F13" s="107"/>
      <c r="G13" s="106"/>
      <c r="H13" s="106"/>
      <c r="I13" s="107"/>
      <c r="J13" s="106"/>
      <c r="K13" s="106"/>
      <c r="L13" s="106"/>
    </row>
    <row r="14" spans="2:26" s="5" customFormat="1" ht="30" customHeight="1" x14ac:dyDescent="0.3">
      <c r="B14" s="47" t="s">
        <v>53</v>
      </c>
      <c r="C14" s="38">
        <f>300+1336</f>
        <v>1636</v>
      </c>
      <c r="F14" s="107"/>
      <c r="G14" s="108"/>
      <c r="H14" s="106"/>
      <c r="I14" s="107"/>
      <c r="J14" s="106"/>
      <c r="K14" s="106"/>
      <c r="L14" s="106"/>
    </row>
    <row r="15" spans="2:26" s="5" customFormat="1" ht="30" customHeight="1" x14ac:dyDescent="0.3">
      <c r="B15" s="12" t="s">
        <v>11</v>
      </c>
      <c r="C15" s="28">
        <v>250</v>
      </c>
      <c r="F15" s="107"/>
      <c r="G15" s="106"/>
      <c r="H15" s="108"/>
      <c r="I15" s="107"/>
      <c r="J15" s="106"/>
      <c r="K15" s="106"/>
      <c r="L15" s="106"/>
    </row>
    <row r="16" spans="2:26" s="5" customFormat="1" ht="30" customHeight="1" x14ac:dyDescent="0.3">
      <c r="B16" s="47" t="s">
        <v>81</v>
      </c>
      <c r="C16" s="38">
        <v>1200</v>
      </c>
      <c r="F16" s="54"/>
      <c r="G16" s="55"/>
      <c r="H16" s="55"/>
      <c r="I16" s="54"/>
      <c r="J16" s="55"/>
      <c r="K16" s="55"/>
      <c r="L16" s="55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 t="s">
        <v>42</v>
      </c>
      <c r="X16" s="56"/>
      <c r="Y16" s="56"/>
      <c r="Z16" s="56" t="s">
        <v>43</v>
      </c>
    </row>
    <row r="17" spans="2:26" s="5" customFormat="1" ht="30" customHeight="1" x14ac:dyDescent="0.3">
      <c r="B17" s="47" t="s">
        <v>50</v>
      </c>
      <c r="C17" s="38">
        <f>150+178.5</f>
        <v>328.5</v>
      </c>
      <c r="F17" s="54"/>
      <c r="G17" s="55"/>
      <c r="H17" s="55"/>
      <c r="I17" s="54"/>
      <c r="J17" s="55"/>
      <c r="K17" s="55"/>
      <c r="L17" s="55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2:26" s="5" customFormat="1" ht="30" customHeight="1" x14ac:dyDescent="0.3">
      <c r="B18" s="47" t="s">
        <v>26</v>
      </c>
      <c r="C18" s="38">
        <f>1097.74+100+1137</f>
        <v>2334.7399999999998</v>
      </c>
      <c r="F18" s="54"/>
      <c r="G18" s="55"/>
      <c r="H18" s="55"/>
      <c r="I18" s="54"/>
      <c r="J18" s="55"/>
      <c r="K18" s="55"/>
      <c r="L18" s="55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2:26" s="5" customFormat="1" ht="30" customHeight="1" x14ac:dyDescent="0.3">
      <c r="B19" s="12" t="s">
        <v>20</v>
      </c>
      <c r="C19" s="38">
        <f>1500+490.5</f>
        <v>1990.5</v>
      </c>
      <c r="F19" s="54"/>
      <c r="G19" s="109"/>
      <c r="H19" s="110"/>
      <c r="I19" s="109"/>
      <c r="J19" s="54"/>
      <c r="K19" s="109"/>
      <c r="L19" s="54"/>
      <c r="M19" s="57"/>
      <c r="N19" s="57"/>
      <c r="O19" s="57"/>
      <c r="P19" s="56"/>
      <c r="Q19" s="56"/>
      <c r="R19" s="57"/>
      <c r="S19" s="56"/>
      <c r="T19" s="57"/>
      <c r="U19" s="56"/>
      <c r="V19" s="56"/>
      <c r="W19" s="57">
        <v>250</v>
      </c>
      <c r="X19" s="56"/>
      <c r="Y19" s="56"/>
      <c r="Z19" s="57">
        <v>890</v>
      </c>
    </row>
    <row r="20" spans="2:26" s="5" customFormat="1" ht="30" customHeight="1" x14ac:dyDescent="0.3">
      <c r="B20" s="40" t="s">
        <v>13</v>
      </c>
      <c r="C20" s="28">
        <f>1990+2000+343.08+1950+600+11313.53+890+17848</f>
        <v>36934.61</v>
      </c>
      <c r="E20" s="117"/>
      <c r="F20" s="111"/>
      <c r="G20" s="112"/>
      <c r="H20" s="112"/>
      <c r="I20" s="111"/>
      <c r="J20" s="54"/>
      <c r="K20" s="109"/>
      <c r="L20" s="54"/>
      <c r="M20" s="57"/>
      <c r="N20" s="57"/>
      <c r="O20" s="57"/>
      <c r="P20" s="56"/>
      <c r="Q20" s="56"/>
      <c r="R20" s="57"/>
      <c r="S20" s="56"/>
      <c r="T20" s="57"/>
      <c r="U20" s="56"/>
      <c r="V20" s="56"/>
      <c r="W20" s="57" t="s">
        <v>51</v>
      </c>
      <c r="X20" s="56"/>
      <c r="Y20" s="56"/>
      <c r="Z20" s="57"/>
    </row>
    <row r="21" spans="2:26" s="5" customFormat="1" ht="30" customHeight="1" x14ac:dyDescent="0.3">
      <c r="B21" s="12" t="s">
        <v>10</v>
      </c>
      <c r="C21" s="28">
        <f>993.58+1835.68+308+37245.29</f>
        <v>40382.550000000003</v>
      </c>
      <c r="E21" s="117"/>
      <c r="F21" s="111"/>
      <c r="G21" s="112"/>
      <c r="H21" s="112"/>
      <c r="I21" s="111"/>
      <c r="J21" s="54"/>
      <c r="K21" s="109"/>
      <c r="L21" s="54"/>
      <c r="M21" s="102"/>
      <c r="N21" s="102"/>
      <c r="O21" s="57"/>
      <c r="P21" s="56"/>
      <c r="Q21" s="56"/>
      <c r="R21" s="57"/>
      <c r="S21" s="56"/>
      <c r="T21" s="57"/>
      <c r="U21" s="56"/>
      <c r="V21" s="56"/>
      <c r="W21" s="57"/>
      <c r="X21" s="56"/>
      <c r="Y21" s="56"/>
      <c r="Z21" s="57"/>
    </row>
    <row r="22" spans="2:26" s="5" customFormat="1" ht="30" customHeight="1" x14ac:dyDescent="0.3">
      <c r="B22" s="43" t="s">
        <v>77</v>
      </c>
      <c r="C22" s="38">
        <v>4282.8500000000004</v>
      </c>
      <c r="F22" s="111"/>
      <c r="G22" s="112"/>
      <c r="H22" s="112"/>
      <c r="I22" s="109"/>
      <c r="J22" s="54"/>
      <c r="K22" s="109"/>
      <c r="L22" s="54"/>
      <c r="M22" s="102"/>
      <c r="N22" s="102"/>
      <c r="O22" s="57"/>
      <c r="P22" s="56"/>
      <c r="Q22" s="56"/>
      <c r="R22" s="57"/>
      <c r="S22" s="56"/>
      <c r="T22" s="57"/>
      <c r="U22" s="56"/>
      <c r="V22" s="56"/>
      <c r="W22" s="57"/>
      <c r="X22" s="56"/>
      <c r="Y22" s="56"/>
      <c r="Z22" s="57"/>
    </row>
    <row r="23" spans="2:26" s="5" customFormat="1" ht="30" customHeight="1" x14ac:dyDescent="0.3">
      <c r="B23" s="45" t="s">
        <v>22</v>
      </c>
      <c r="C23" s="46">
        <f>SUM(C6:C22)</f>
        <v>638622.74</v>
      </c>
      <c r="F23" s="54"/>
      <c r="G23" s="109"/>
      <c r="H23" s="110"/>
      <c r="I23" s="54"/>
      <c r="J23" s="54"/>
      <c r="K23" s="54"/>
      <c r="L23" s="54"/>
      <c r="M23" s="102"/>
      <c r="N23" s="102"/>
      <c r="O23" s="56"/>
      <c r="P23" s="56"/>
      <c r="Q23" s="56"/>
      <c r="R23" s="57"/>
      <c r="S23" s="56"/>
      <c r="T23" s="57"/>
      <c r="U23" s="56"/>
      <c r="V23" s="56"/>
      <c r="W23" s="57"/>
      <c r="X23" s="56"/>
      <c r="Y23" s="56"/>
      <c r="Z23" s="57"/>
    </row>
    <row r="24" spans="2:26" ht="30" customHeight="1" x14ac:dyDescent="0.3">
      <c r="F24" s="113"/>
      <c r="G24" s="54"/>
      <c r="H24" s="113"/>
      <c r="I24" s="114"/>
      <c r="J24" s="114"/>
      <c r="K24" s="114"/>
      <c r="L24" s="114"/>
      <c r="M24" s="104"/>
      <c r="N24" s="104"/>
      <c r="O24" s="64"/>
      <c r="P24" s="64"/>
      <c r="Q24" s="64"/>
      <c r="R24" s="65"/>
      <c r="S24" s="64"/>
      <c r="T24" s="65"/>
      <c r="U24" s="64"/>
      <c r="V24" s="64"/>
      <c r="W24" s="65"/>
      <c r="X24" s="64"/>
      <c r="Y24" s="64"/>
      <c r="Z24" s="65">
        <f>SUM(Z19:Z23)</f>
        <v>890</v>
      </c>
    </row>
    <row r="25" spans="2:26" ht="30" customHeight="1" x14ac:dyDescent="0.3">
      <c r="F25" s="113"/>
      <c r="G25" s="54"/>
      <c r="H25" s="113"/>
      <c r="I25" s="114"/>
      <c r="J25" s="114"/>
      <c r="K25" s="54"/>
      <c r="L25" s="114"/>
      <c r="M25" s="104"/>
      <c r="N25" s="104"/>
      <c r="O25" s="64"/>
      <c r="P25" s="64"/>
      <c r="Q25" s="67"/>
      <c r="R25" s="68"/>
      <c r="S25" s="64"/>
      <c r="T25" s="65"/>
      <c r="U25" s="64"/>
      <c r="V25" s="64"/>
      <c r="W25" s="65"/>
      <c r="X25" s="64"/>
      <c r="Y25" s="64"/>
      <c r="Z25" s="64" t="s">
        <v>51</v>
      </c>
    </row>
    <row r="26" spans="2:26" ht="30" customHeight="1" x14ac:dyDescent="0.3">
      <c r="F26" s="113"/>
      <c r="G26" s="54"/>
      <c r="H26" s="113"/>
      <c r="I26" s="114"/>
      <c r="J26" s="114"/>
      <c r="K26" s="114"/>
      <c r="L26" s="114"/>
      <c r="M26" s="104"/>
      <c r="N26" s="10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spans="2:26" ht="30" customHeight="1" x14ac:dyDescent="0.3">
      <c r="F27" s="113"/>
      <c r="G27" s="54"/>
      <c r="H27" s="113"/>
      <c r="I27" s="114"/>
      <c r="J27" s="114"/>
      <c r="K27" s="114"/>
      <c r="L27" s="114"/>
      <c r="M27" s="104"/>
      <c r="N27" s="10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2:26" ht="30" customHeight="1" x14ac:dyDescent="0.3">
      <c r="F28" s="113"/>
      <c r="G28" s="54"/>
      <c r="H28" s="113"/>
      <c r="I28" s="114"/>
      <c r="J28" s="114"/>
      <c r="K28" s="114"/>
      <c r="L28" s="114"/>
      <c r="M28" s="104"/>
      <c r="N28" s="10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2:26" ht="30" customHeight="1" x14ac:dyDescent="0.3">
      <c r="F29" s="113"/>
      <c r="G29" s="54"/>
      <c r="H29" s="113"/>
      <c r="I29" s="114"/>
      <c r="J29" s="114"/>
      <c r="K29" s="114"/>
      <c r="L29" s="114"/>
      <c r="M29" s="104"/>
      <c r="N29" s="10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spans="2:26" ht="30" customHeight="1" x14ac:dyDescent="0.3">
      <c r="F30" s="113"/>
      <c r="G30" s="54"/>
      <c r="H30" s="113"/>
      <c r="I30" s="114"/>
      <c r="J30" s="114"/>
      <c r="K30" s="114"/>
      <c r="L30" s="114"/>
      <c r="M30" s="104"/>
      <c r="N30" s="10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spans="2:26" ht="30" customHeight="1" x14ac:dyDescent="0.3">
      <c r="F31" s="113"/>
      <c r="G31" s="54"/>
      <c r="H31" s="113"/>
      <c r="I31" s="114"/>
      <c r="J31" s="113"/>
      <c r="K31" s="113"/>
      <c r="L31" s="113"/>
      <c r="M31" s="103"/>
      <c r="N31" s="103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spans="2:26" ht="30" customHeight="1" x14ac:dyDescent="0.3">
      <c r="F32" s="113"/>
      <c r="G32" s="54"/>
      <c r="H32" s="113"/>
      <c r="I32" s="114"/>
      <c r="J32" s="113"/>
      <c r="K32" s="113"/>
      <c r="L32" s="113"/>
      <c r="M32" s="103"/>
      <c r="N32" s="103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spans="6:26" ht="30" customHeight="1" x14ac:dyDescent="0.3">
      <c r="F33" s="113"/>
      <c r="G33" s="115"/>
      <c r="H33" s="113"/>
      <c r="I33" s="114"/>
      <c r="J33" s="113"/>
      <c r="K33" s="113"/>
      <c r="L33" s="113"/>
      <c r="M33" s="103"/>
      <c r="N33" s="103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spans="6:26" ht="30" customHeight="1" x14ac:dyDescent="0.3">
      <c r="F34" s="113"/>
      <c r="G34" s="114"/>
      <c r="H34" s="113"/>
      <c r="I34" s="114"/>
      <c r="J34" s="113"/>
      <c r="K34" s="113"/>
      <c r="L34" s="113"/>
      <c r="M34" s="103"/>
      <c r="N34" s="103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spans="6:26" ht="30" customHeight="1" x14ac:dyDescent="0.3">
      <c r="F35" s="113"/>
      <c r="G35" s="113"/>
      <c r="H35" s="113"/>
      <c r="I35" s="114"/>
      <c r="J35" s="116"/>
      <c r="K35" s="113"/>
      <c r="L35" s="113"/>
      <c r="M35" s="103"/>
      <c r="N35" s="103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6:26" ht="30" customHeight="1" x14ac:dyDescent="0.3">
      <c r="F36" s="103"/>
      <c r="G36" s="103"/>
      <c r="H36" s="103"/>
      <c r="I36" s="104"/>
      <c r="J36" s="103"/>
      <c r="K36" s="103"/>
      <c r="L36" s="103"/>
      <c r="M36" s="103"/>
      <c r="N36" s="103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6:26" ht="30" customHeight="1" x14ac:dyDescent="0.3">
      <c r="F37" s="103"/>
      <c r="G37" s="103"/>
      <c r="H37" s="103"/>
      <c r="I37" s="104"/>
      <c r="J37" s="103"/>
      <c r="K37" s="103"/>
      <c r="L37" s="103"/>
      <c r="M37" s="103"/>
      <c r="N37" s="103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6:26" ht="30" customHeight="1" x14ac:dyDescent="0.3">
      <c r="F38" s="103"/>
      <c r="G38" s="103"/>
      <c r="H38" s="103"/>
      <c r="I38" s="104"/>
      <c r="J38" s="103"/>
      <c r="K38" s="103"/>
      <c r="L38" s="103"/>
      <c r="M38" s="103"/>
      <c r="N38" s="103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spans="6:26" ht="30" customHeight="1" x14ac:dyDescent="0.3">
      <c r="F39" s="103"/>
      <c r="G39" s="105"/>
      <c r="H39" s="103"/>
      <c r="I39" s="104"/>
      <c r="J39" s="103"/>
      <c r="K39" s="103"/>
      <c r="L39" s="103"/>
      <c r="M39" s="103"/>
      <c r="N39" s="103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</sheetData>
  <sheetProtection selectLockedCells="1"/>
  <sortState xmlns:xlrd2="http://schemas.microsoft.com/office/spreadsheetml/2017/richdata2" ref="B7:C22">
    <sortCondition ref="B6"/>
  </sortState>
  <mergeCells count="3">
    <mergeCell ref="B3:C3"/>
    <mergeCell ref="B4:C4"/>
    <mergeCell ref="B1:C2"/>
  </mergeCells>
  <conditionalFormatting sqref="B6:C23">
    <cfRule type="expression" dxfId="0" priority="8">
      <formula>MOD(ROW(),2)=0</formula>
    </cfRule>
  </conditionalFormatting>
  <dataValidations count="6">
    <dataValidation allowBlank="1" showInputMessage="1" showErrorMessage="1" prompt="Introduza dados financeiros de até 25 métricas principais e sete anos na tabela a começar na célula B5 desta folha de cálculo. Selecione a célula B4 para navegar para a folha de cálculo do Relatório Financeiro" sqref="A1" xr:uid="{00000000-0002-0000-0100-000000000000}"/>
    <dataValidation allowBlank="1" showInputMessage="1" showErrorMessage="1" prompt="O título desta folha de cálculo está nesta célula e a sugestão na célula abaixo" sqref="B1:C2" xr:uid="{00000000-0002-0000-0100-000001000000}"/>
    <dataValidation allowBlank="1" showInputMessage="1" showErrorMessage="1" prompt="Ligação de navegação para a folha de cálculo do Relatório Financeiro. Introduza detalhes na tabela abaixo" sqref="B4:C4" xr:uid="{00000000-0002-0000-0100-000002000000}"/>
    <dataValidation allowBlank="1" showInputMessage="1" showErrorMessage="1" prompt="A Sugestão está nesta célula" sqref="B3:C3" xr:uid="{00000000-0002-0000-0100-000003000000}"/>
    <dataValidation allowBlank="1" showInputMessage="1" showErrorMessage="1" prompt="O ano é atualizado automaticamente nesta célula. Introduza valores para este ano nesta célula, abaixo deste cabeçalho" sqref="C5" xr:uid="{00000000-0002-0000-0100-000004000000}"/>
    <dataValidation allowBlank="1" showInputMessage="1" showErrorMessage="1" prompt="Introduza o Nome da Métrica nesta coluna, abaixo deste cabeçalho" sqref="B5" xr:uid="{00000000-0002-0000-0100-000005000000}"/>
  </dataValidations>
  <hyperlinks>
    <hyperlink ref="B4" location="'Relatório Financeiro'!A1" tooltip="Selecione para navegar para a folha de cálculo do Relatório Financeiro" display="Tap to view Financial Report" xr:uid="{00000000-0004-0000-0100-000000000000}"/>
  </hyperlinks>
  <printOptions horizontalCentered="1"/>
  <pageMargins left="0.7" right="0.7" top="0.75" bottom="0.75" header="0.3" footer="0.3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F44"/>
  <sheetViews>
    <sheetView showGridLines="0" tabSelected="1" zoomScaleNormal="100" workbookViewId="0">
      <selection activeCell="F16" sqref="F16"/>
    </sheetView>
  </sheetViews>
  <sheetFormatPr defaultRowHeight="30" customHeight="1" x14ac:dyDescent="0.3"/>
  <cols>
    <col min="1" max="1" width="1.625" customWidth="1"/>
    <col min="2" max="2" width="41.625" customWidth="1"/>
    <col min="3" max="3" width="2.625" customWidth="1"/>
    <col min="4" max="4" width="26.375" customWidth="1"/>
    <col min="5" max="5" width="28.375" customWidth="1"/>
    <col min="6" max="6" width="22.875" customWidth="1"/>
    <col min="7" max="7" width="10"/>
  </cols>
  <sheetData>
    <row r="1" spans="2:6" ht="8.25" customHeight="1" x14ac:dyDescent="0.3">
      <c r="B1" s="136" t="s">
        <v>83</v>
      </c>
      <c r="C1" s="136"/>
      <c r="D1" s="136"/>
      <c r="E1" s="136"/>
    </row>
    <row r="2" spans="2:6" ht="73.5" customHeight="1" x14ac:dyDescent="0.3">
      <c r="B2" s="136"/>
      <c r="C2" s="136"/>
      <c r="D2" s="136"/>
      <c r="E2" s="136"/>
      <c r="F2" s="29"/>
    </row>
    <row r="3" spans="2:6" ht="29.25" customHeight="1" x14ac:dyDescent="0.3">
      <c r="B3" s="137" t="s">
        <v>8</v>
      </c>
      <c r="C3" s="137"/>
      <c r="D3" s="137"/>
      <c r="E3" s="137"/>
      <c r="F3" s="29"/>
    </row>
    <row r="4" spans="2:6" ht="10.5" customHeight="1" thickBot="1" x14ac:dyDescent="0.35">
      <c r="B4" s="138"/>
      <c r="C4" s="138"/>
      <c r="D4" s="138"/>
      <c r="E4" s="138"/>
    </row>
    <row r="5" spans="2:6" s="8" customFormat="1" ht="18.75" customHeight="1" thickBot="1" x14ac:dyDescent="0.35">
      <c r="B5" s="14"/>
      <c r="C5" s="14"/>
      <c r="D5" s="18"/>
      <c r="E5" s="14"/>
    </row>
    <row r="6" spans="2:6" ht="22.5" customHeight="1" x14ac:dyDescent="0.25">
      <c r="B6" s="17" t="s">
        <v>82</v>
      </c>
      <c r="C6" s="15"/>
      <c r="D6" s="30"/>
      <c r="E6" s="30"/>
    </row>
    <row r="7" spans="2:6" ht="42" customHeight="1" x14ac:dyDescent="0.3">
      <c r="B7" s="36">
        <f>99000+30000+6411.19+5817+37977.76+4080.08+18875+482000</f>
        <v>684161.03</v>
      </c>
      <c r="C7" s="13"/>
      <c r="D7" s="32"/>
      <c r="E7" s="25" t="s">
        <v>84</v>
      </c>
    </row>
    <row r="8" spans="2:6" s="4" customFormat="1" ht="22.5" customHeight="1" x14ac:dyDescent="0.3">
      <c r="B8" s="143" t="s">
        <v>79</v>
      </c>
      <c r="C8" s="13"/>
      <c r="D8" s="33"/>
      <c r="E8" s="26"/>
    </row>
    <row r="9" spans="2:6" ht="18.75" customHeight="1" x14ac:dyDescent="0.3">
      <c r="B9" s="144"/>
      <c r="C9" s="23"/>
      <c r="D9" s="34"/>
      <c r="E9" s="24"/>
    </row>
    <row r="10" spans="2:6" ht="8.25" customHeight="1" thickBot="1" x14ac:dyDescent="0.35">
      <c r="B10" s="145"/>
      <c r="C10" s="13"/>
      <c r="D10" s="35"/>
      <c r="E10" s="16"/>
    </row>
    <row r="11" spans="2:6" ht="9.75" customHeight="1" thickBot="1" x14ac:dyDescent="0.35">
      <c r="B11" s="13"/>
      <c r="C11" s="13"/>
      <c r="D11" s="13"/>
      <c r="E11" s="13"/>
    </row>
    <row r="12" spans="2:6" ht="3.75" customHeight="1" x14ac:dyDescent="0.3">
      <c r="B12" s="142"/>
      <c r="C12" s="142"/>
      <c r="D12" s="142"/>
      <c r="E12" s="142"/>
    </row>
    <row r="13" spans="2:6" ht="18.75" customHeight="1" x14ac:dyDescent="0.3">
      <c r="B13" s="139" t="s">
        <v>14</v>
      </c>
      <c r="C13" s="139"/>
      <c r="D13" s="21" t="s">
        <v>15</v>
      </c>
      <c r="E13" s="22" t="s">
        <v>16</v>
      </c>
    </row>
    <row r="14" spans="2:6" ht="21.75" customHeight="1" x14ac:dyDescent="0.3">
      <c r="B14" s="140" t="str">
        <f>Cálculos!B15</f>
        <v>ALIMENTAÇÃO</v>
      </c>
      <c r="C14" s="140"/>
      <c r="D14" s="31">
        <f>'Introdução de Dados Financeiros'!C6</f>
        <v>7479.99</v>
      </c>
      <c r="E14" s="134">
        <f>D14/$D$31</f>
        <v>1.1712689717249968E-2</v>
      </c>
      <c r="F14" s="39"/>
    </row>
    <row r="15" spans="2:6" ht="21.75" customHeight="1" x14ac:dyDescent="0.3">
      <c r="B15" s="141" t="str">
        <f>Cálculos!B16</f>
        <v>CARTÓRIO</v>
      </c>
      <c r="C15" s="141"/>
      <c r="D15" s="37">
        <f>'Introdução de Dados Financeiros'!C7</f>
        <v>172.69</v>
      </c>
      <c r="E15" s="134">
        <f t="shared" ref="E15:E30" si="0">D15/$D$31</f>
        <v>2.7041003895351425E-4</v>
      </c>
    </row>
    <row r="16" spans="2:6" ht="27" customHeight="1" x14ac:dyDescent="0.3">
      <c r="B16" s="147" t="str">
        <f>Cálculos!B17</f>
        <v>DESPESAS COM CESTAS  E NECESSIDADES BÁSICAS</v>
      </c>
      <c r="C16" s="147"/>
      <c r="D16" s="37">
        <f>'Introdução de Dados Financeiros'!C8</f>
        <v>496709.93</v>
      </c>
      <c r="E16" s="134">
        <f t="shared" si="0"/>
        <v>0.77778303040070262</v>
      </c>
    </row>
    <row r="17" spans="2:5" ht="75" customHeight="1" x14ac:dyDescent="0.3">
      <c r="B17" s="141" t="str">
        <f>Cálculos!B18</f>
        <v>DESPESAS COM VEICULOS(SEGURO,MANUTENÇÃO, (COMBUSTÍVEL-Kombi, Hilux, voyage, Pastoral da Criança, ajuda para outros colaboradores ))</v>
      </c>
      <c r="C17" s="141"/>
      <c r="D17" s="37">
        <f>'Introdução de Dados Financeiros'!C9</f>
        <v>19578.289999999997</v>
      </c>
      <c r="E17" s="134">
        <f t="shared" si="0"/>
        <v>3.0657051141022629E-2</v>
      </c>
    </row>
    <row r="18" spans="2:5" ht="30" customHeight="1" x14ac:dyDescent="0.3">
      <c r="B18" s="147" t="str">
        <f>Cálculos!B19</f>
        <v>DESPESAS FIXAS (energia, água, telefone)</v>
      </c>
      <c r="C18" s="147"/>
      <c r="D18" s="37">
        <f>'Introdução de Dados Financeiros'!C10</f>
        <v>4651.37</v>
      </c>
      <c r="E18" s="134">
        <f t="shared" si="0"/>
        <v>7.2834393588928573E-3</v>
      </c>
    </row>
    <row r="19" spans="2:5" ht="21.75" customHeight="1" x14ac:dyDescent="0.3">
      <c r="B19" s="147" t="str">
        <f>Cálculos!B20</f>
        <v>HONORÁRIOS CONTÁBEIS</v>
      </c>
      <c r="C19" s="147"/>
      <c r="D19" s="37">
        <f>'Introdução de Dados Financeiros'!C11</f>
        <v>6450</v>
      </c>
      <c r="E19" s="134">
        <f t="shared" si="0"/>
        <v>1.0099859582200284E-2</v>
      </c>
    </row>
    <row r="20" spans="2:5" ht="30" customHeight="1" x14ac:dyDescent="0.3">
      <c r="B20" s="147" t="str">
        <f>Cálculos!B21</f>
        <v>IMPOSTOS E TAXAS MUNICIPAIS</v>
      </c>
      <c r="C20" s="147"/>
      <c r="D20" s="37">
        <f>'Introdução de Dados Financeiros'!C12</f>
        <v>8298.7199999999993</v>
      </c>
      <c r="E20" s="134">
        <f t="shared" si="0"/>
        <v>1.2994714218914283E-2</v>
      </c>
    </row>
    <row r="21" spans="2:5" ht="30" customHeight="1" x14ac:dyDescent="0.3">
      <c r="B21" s="147" t="str">
        <f>Cálculos!B22</f>
        <v>INSUMOS E MATERIAIS PARA HORTA</v>
      </c>
      <c r="C21" s="147"/>
      <c r="D21" s="37">
        <f>'Introdução de Dados Financeiros'!C13</f>
        <v>5942</v>
      </c>
      <c r="E21" s="134">
        <f t="shared" si="0"/>
        <v>9.304397773245595E-3</v>
      </c>
    </row>
    <row r="22" spans="2:5" ht="30" customHeight="1" x14ac:dyDescent="0.3">
      <c r="B22" s="147" t="str">
        <f>Cálculos!B23</f>
        <v>MANUNTENÇÃO DE EQUIPAMENTOS</v>
      </c>
      <c r="C22" s="147"/>
      <c r="D22" s="37">
        <f>'Introdução de Dados Financeiros'!C14</f>
        <v>1636</v>
      </c>
      <c r="E22" s="134">
        <f t="shared" si="0"/>
        <v>2.5617628335627383E-3</v>
      </c>
    </row>
    <row r="23" spans="2:5" ht="30" customHeight="1" x14ac:dyDescent="0.3">
      <c r="B23" s="147" t="str">
        <f>'Introdução de Dados Financeiros'!B15</f>
        <v>MANUNTENÇÃO PREDIAL</v>
      </c>
      <c r="C23" s="147"/>
      <c r="D23" s="44">
        <f>'Introdução de Dados Financeiros'!C15</f>
        <v>250</v>
      </c>
      <c r="E23" s="134">
        <f t="shared" si="0"/>
        <v>3.9146742566667763E-4</v>
      </c>
    </row>
    <row r="24" spans="2:5" ht="30" customHeight="1" x14ac:dyDescent="0.3">
      <c r="B24" s="147" t="str">
        <f>'Introdução de Dados Financeiros'!B16</f>
        <v>MANUTENÇÃO SITE</v>
      </c>
      <c r="C24" s="147"/>
      <c r="D24" s="44">
        <f>'Introdução de Dados Financeiros'!C16</f>
        <v>1200</v>
      </c>
      <c r="E24" s="134">
        <f t="shared" si="0"/>
        <v>1.8790436432000526E-3</v>
      </c>
    </row>
    <row r="25" spans="2:5" ht="30" customHeight="1" x14ac:dyDescent="0.3">
      <c r="B25" s="49" t="str">
        <f>'Introdução de Dados Financeiros'!B17</f>
        <v>MATERIAL DE INFORMÁTICA</v>
      </c>
      <c r="C25" s="49"/>
      <c r="D25" s="50">
        <f>'Introdução de Dados Financeiros'!C17</f>
        <v>328.5</v>
      </c>
      <c r="E25" s="134">
        <f t="shared" si="0"/>
        <v>5.1438819732601442E-4</v>
      </c>
    </row>
    <row r="26" spans="2:5" ht="24.75" customHeight="1" x14ac:dyDescent="0.3">
      <c r="B26" s="97" t="s">
        <v>99</v>
      </c>
      <c r="C26" s="97"/>
      <c r="D26" s="98">
        <f>'Introdução de Dados Financeiros'!C18</f>
        <v>2334.7399999999998</v>
      </c>
      <c r="E26" s="134">
        <f t="shared" si="0"/>
        <v>3.6558986296040753E-3</v>
      </c>
    </row>
    <row r="27" spans="2:5" ht="24" customHeight="1" x14ac:dyDescent="0.3">
      <c r="B27" s="146" t="str">
        <f>'Introdução de Dados Financeiros'!B19</f>
        <v>MATERIAL PARA OFICINAS</v>
      </c>
      <c r="C27" s="146"/>
      <c r="D27" s="51">
        <f>'Introdução de Dados Financeiros'!C19</f>
        <v>1990.5</v>
      </c>
      <c r="E27" s="134">
        <f t="shared" si="0"/>
        <v>3.1168636431580872E-3</v>
      </c>
    </row>
    <row r="28" spans="2:5" ht="24" customHeight="1" x14ac:dyDescent="0.3">
      <c r="B28" s="99" t="str">
        <f>'Introdução de Dados Financeiros'!B20</f>
        <v>PRESTAÇÃO DE SERVIÇOS PJ</v>
      </c>
      <c r="C28" s="99"/>
      <c r="D28" s="100">
        <f>'Introdução de Dados Financeiros'!C20</f>
        <v>36934.61</v>
      </c>
      <c r="E28" s="134">
        <f t="shared" si="0"/>
        <v>5.7834786778810918E-2</v>
      </c>
    </row>
    <row r="29" spans="2:5" ht="21.75" customHeight="1" x14ac:dyDescent="0.3">
      <c r="B29" s="73" t="str">
        <f>'Introdução de Dados Financeiros'!B21</f>
        <v>RECURSOS HUMANOS</v>
      </c>
      <c r="C29" s="73"/>
      <c r="D29" s="51">
        <f>'Introdução de Dados Financeiros'!C21</f>
        <v>40382.550000000003</v>
      </c>
      <c r="E29" s="134">
        <f t="shared" si="0"/>
        <v>6.3233811561423575E-2</v>
      </c>
    </row>
    <row r="30" spans="2:5" ht="24" customHeight="1" x14ac:dyDescent="0.3">
      <c r="B30" s="99" t="str">
        <f>'Introdução de Dados Financeiros'!B22</f>
        <v>TARIFAS BANCÁRIAS</v>
      </c>
      <c r="C30" s="99"/>
      <c r="D30" s="100">
        <f>'Introdução de Dados Financeiros'!C22</f>
        <v>4282.8500000000004</v>
      </c>
      <c r="E30" s="134">
        <f t="shared" si="0"/>
        <v>6.7063850560661218E-3</v>
      </c>
    </row>
    <row r="31" spans="2:5" ht="18.75" customHeight="1" x14ac:dyDescent="0.3">
      <c r="B31" s="121" t="s">
        <v>85</v>
      </c>
      <c r="C31" s="122"/>
      <c r="D31" s="123">
        <f>SUM(D14:D30)</f>
        <v>638622.74</v>
      </c>
      <c r="E31" s="135">
        <f>SUM(E14:E30)</f>
        <v>0.99999999999999989</v>
      </c>
    </row>
    <row r="32" spans="2:5" ht="18.75" customHeight="1" x14ac:dyDescent="0.3">
      <c r="B32" s="124" t="s">
        <v>23</v>
      </c>
      <c r="C32" s="124"/>
      <c r="D32" s="124"/>
      <c r="E32" s="101"/>
    </row>
    <row r="33" spans="2:5" ht="18.75" customHeight="1" x14ac:dyDescent="0.3">
      <c r="B33" s="118" t="s">
        <v>24</v>
      </c>
      <c r="C33" s="8"/>
      <c r="D33" s="119">
        <f>23444.93</f>
        <v>23444.93</v>
      </c>
      <c r="E33" s="101"/>
    </row>
    <row r="34" spans="2:5" ht="18.75" customHeight="1" x14ac:dyDescent="0.3">
      <c r="B34" s="118" t="s">
        <v>25</v>
      </c>
      <c r="C34" s="8"/>
      <c r="D34" s="120">
        <f>6881.4+15211.96</f>
        <v>22093.360000000001</v>
      </c>
      <c r="E34" s="101"/>
    </row>
    <row r="35" spans="2:5" ht="15" customHeight="1" x14ac:dyDescent="0.3">
      <c r="B35" s="52" t="s">
        <v>54</v>
      </c>
      <c r="C35" s="53"/>
      <c r="D35" s="125">
        <f>SUM(D33:D34)</f>
        <v>45538.29</v>
      </c>
      <c r="E35" s="101"/>
    </row>
    <row r="36" spans="2:5" ht="30" customHeight="1" x14ac:dyDescent="0.3">
      <c r="D36" s="39"/>
      <c r="E36" s="39"/>
    </row>
    <row r="37" spans="2:5" ht="30" customHeight="1" x14ac:dyDescent="0.3">
      <c r="B37" s="39"/>
      <c r="D37" s="132"/>
    </row>
    <row r="38" spans="2:5" ht="30" customHeight="1" x14ac:dyDescent="0.3">
      <c r="B38" s="39"/>
      <c r="D38" s="48"/>
    </row>
    <row r="39" spans="2:5" ht="30" customHeight="1" x14ac:dyDescent="0.3">
      <c r="D39" s="48"/>
    </row>
    <row r="40" spans="2:5" ht="30" customHeight="1" x14ac:dyDescent="0.3">
      <c r="D40" s="95"/>
    </row>
    <row r="41" spans="2:5" ht="30" customHeight="1" x14ac:dyDescent="0.3">
      <c r="D41" s="126"/>
    </row>
    <row r="42" spans="2:5" ht="30" customHeight="1" x14ac:dyDescent="0.3">
      <c r="D42" s="95"/>
    </row>
    <row r="43" spans="2:5" ht="30" customHeight="1" x14ac:dyDescent="0.3">
      <c r="D43" s="126"/>
    </row>
    <row r="44" spans="2:5" ht="30" customHeight="1" x14ac:dyDescent="0.3">
      <c r="D44" s="95"/>
    </row>
  </sheetData>
  <sheetProtection selectLockedCells="1"/>
  <mergeCells count="17">
    <mergeCell ref="B27:C27"/>
    <mergeCell ref="B23:C23"/>
    <mergeCell ref="B24:C24"/>
    <mergeCell ref="B16:C16"/>
    <mergeCell ref="B17:C17"/>
    <mergeCell ref="B18:C18"/>
    <mergeCell ref="B19:C19"/>
    <mergeCell ref="B20:C20"/>
    <mergeCell ref="B21:C21"/>
    <mergeCell ref="B22:C22"/>
    <mergeCell ref="B1:E2"/>
    <mergeCell ref="B3:E4"/>
    <mergeCell ref="B13:C13"/>
    <mergeCell ref="B14:C14"/>
    <mergeCell ref="B15:C15"/>
    <mergeCell ref="B12:E12"/>
    <mergeCell ref="B8:B10"/>
  </mergeCells>
  <conditionalFormatting sqref="B14:B26 D14:E26 E15:E35">
    <cfRule type="expression" dxfId="2" priority="2">
      <formula>MOD(ROW(),2)=0</formula>
    </cfRule>
  </conditionalFormatting>
  <conditionalFormatting sqref="D8:E8 B8">
    <cfRule type="iconSet" priority="12">
      <iconSet iconSet="3Arrows">
        <cfvo type="percent" val="0"/>
        <cfvo type="num" val="0"/>
        <cfvo type="num" val="0" gte="0"/>
      </iconSet>
    </cfRule>
  </conditionalFormatting>
  <conditionalFormatting sqref="D27:D34 B27:B34">
    <cfRule type="expression" dxfId="1" priority="1">
      <formula>MOD(ROW(),2)=0</formula>
    </cfRule>
  </conditionalFormatting>
  <conditionalFormatting sqref="E14:E35">
    <cfRule type="iconSet" priority="88">
      <iconSet iconSet="3Arrows">
        <cfvo type="percent" val="0"/>
        <cfvo type="num" val="0"/>
        <cfvo type="num" val="0" gte="0"/>
      </iconSet>
    </cfRule>
  </conditionalFormatting>
  <conditionalFormatting sqref="E16:E35">
    <cfRule type="iconSet" priority="90">
      <iconSet iconSet="3Arrows">
        <cfvo type="percent" val="0"/>
        <cfvo type="num" val="0"/>
        <cfvo type="num" val="0" gte="0"/>
      </iconSet>
    </cfRule>
  </conditionalFormatting>
  <dataValidations count="13">
    <dataValidation allowBlank="1" showInputMessage="1" showErrorMessage="1" prompt="Crie um Relatório Financeiro Anual neste livro. Selecione o ano na célula K2 desta folha de cálculo, a célula D5 para navegar para a folha de cálculo das Métricas Principais e a célula D13 para navegar para a folha de cálculo dos Dados Financeiros" sqref="A1" xr:uid="{00000000-0002-0000-0000-000000000000}"/>
    <dataValidation allowBlank="1" showInputMessage="1" showErrorMessage="1" prompt="A receita, a percentagem de crescimento e os gráficos sparkline são atualizados automaticamente nas células abaixo" sqref="B6" xr:uid="{00000000-0002-0000-0000-000001000000}"/>
    <dataValidation allowBlank="1" showInputMessage="1" showErrorMessage="1" prompt="A Receita Total é atualizada automaticamente nesta célula e a percentagem de crescimento na célula abaixo" sqref="B7" xr:uid="{00000000-0002-0000-0000-000002000000}"/>
    <dataValidation allowBlank="1" showInputMessage="1" showErrorMessage="1" prompt="A percentagem de crescimento é atualizada automaticamente nesta célula e o gráfico sparkline na célula abaixo" sqref="B8 D8:E8" xr:uid="{00000000-0002-0000-0000-000003000000}"/>
    <dataValidation allowBlank="1" showInputMessage="1" showErrorMessage="1" prompt="O Lucro Líquido, a percentagem de crescimento e os gráficos sparkline são atualizados automaticamente nas células abaixo" sqref="D6" xr:uid="{00000000-0002-0000-0000-000004000000}"/>
    <dataValidation allowBlank="1" showInputMessage="1" showErrorMessage="1" prompt="O Lucro Líquido é atualizado automaticamente nesta célula e a percentagem de crescimento na célula abaixo" sqref="D7" xr:uid="{00000000-0002-0000-0000-000005000000}"/>
    <dataValidation allowBlank="1" showInputMessage="1" showErrorMessage="1" prompt="O montante da depreciação, a percentagem de crescimento e os gráficos sparkline são atualizados automaticamente nas células abaixo" sqref="E6" xr:uid="{00000000-0002-0000-0000-000006000000}"/>
    <dataValidation allowBlank="1" showInputMessage="1" showErrorMessage="1" prompt="O montante da depreciação é atualizado automaticamente nesta célula e a percentagem de crescimento na célula abaixo" sqref="E7" xr:uid="{00000000-0002-0000-0000-000007000000}"/>
    <dataValidation allowBlank="1" showInputMessage="1" showErrorMessage="1" prompt="As métricas são atualizadas automaticamente nesta coluna, abaixo deste cabeçalho" sqref="B13" xr:uid="{00000000-0002-0000-0000-000008000000}"/>
    <dataValidation allowBlank="1" showInputMessage="1" showErrorMessage="1" prompt="Os valores do Ano do Relatório são atualizados automaticamente nesta coluna, abaixo deste cabeçalho" sqref="D13" xr:uid="{00000000-0002-0000-0000-000009000000}"/>
    <dataValidation allowBlank="1" showInputMessage="1" showErrorMessage="1" prompt="O ícone e a variação da Percentagem são atualizados automaticamente nesta coluna, abaixo deste cabeçalho" sqref="E13" xr:uid="{00000000-0002-0000-0000-00000A000000}"/>
    <dataValidation allowBlank="1" showInputMessage="1" showErrorMessage="1" prompt="O título desta folha de cálculo está nesta célula. Introduza o Nome da Empresa na célula abaixo e selecione o ano do relatório na célula à direita. A sugestão está nas células N2 e N3" sqref="B1" xr:uid="{00000000-0002-0000-0000-00000B000000}"/>
    <dataValidation allowBlank="1" showInputMessage="1" showErrorMessage="1" prompt="Introduza o Nome da Empresa nesta célula" sqref="B3:E4" xr:uid="{00000000-0002-0000-0000-00000C000000}"/>
  </dataValidations>
  <printOptions horizontalCentered="1"/>
  <pageMargins left="0.7" right="0.7" top="0.75" bottom="0.75" header="0.3" footer="0.3"/>
  <pageSetup paperSize="9" scale="8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first="1" last="1" xr2:uid="{00000000-0003-0000-0000-000000000000}">
          <x14:colorSeries theme="0" tint="-0.34998626667073579"/>
          <x14:colorNegative theme="5"/>
          <x14:colorAxis rgb="FF000000"/>
          <x14:colorMarkers theme="4" tint="-0.499984740745262"/>
          <x14:colorFirst theme="4" tint="-0.499984740745262"/>
          <x14:colorLast theme="4" tint="-0.499984740745262"/>
          <x14:colorHigh theme="4"/>
          <x14:colorLow theme="4"/>
          <x14:sparklines>
            <x14:sparkline>
              <xm:f>Cálculos!C9:G9</xm:f>
              <xm:sqref>D9</xm:sqref>
            </x14:sparkline>
            <x14:sparkline>
              <xm:f>Cálculos!C11:G11</xm:f>
              <xm:sqref>E9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R104"/>
  <sheetViews>
    <sheetView topLeftCell="G1" workbookViewId="0">
      <selection activeCell="R6" sqref="R6"/>
    </sheetView>
  </sheetViews>
  <sheetFormatPr defaultRowHeight="16.5" x14ac:dyDescent="0.3"/>
  <cols>
    <col min="4" max="4" width="12.625" customWidth="1"/>
    <col min="6" max="6" width="12.625" customWidth="1"/>
    <col min="7" max="7" width="12.5" customWidth="1"/>
    <col min="8" max="8" width="11.75" customWidth="1"/>
    <col min="9" max="9" width="11.75" style="80" customWidth="1"/>
    <col min="10" max="10" width="10.875" style="80" customWidth="1"/>
    <col min="11" max="11" width="11.5" customWidth="1"/>
    <col min="12" max="12" width="17.25" customWidth="1"/>
    <col min="15" max="15" width="9.75" bestFit="1" customWidth="1"/>
    <col min="16" max="16" width="15.625" customWidth="1"/>
    <col min="17" max="17" width="13.5" customWidth="1"/>
    <col min="18" max="18" width="9.75" bestFit="1" customWidth="1"/>
  </cols>
  <sheetData>
    <row r="2" spans="2:18" x14ac:dyDescent="0.3">
      <c r="B2" s="5"/>
      <c r="C2" s="41"/>
      <c r="D2" s="5"/>
      <c r="E2" s="5"/>
      <c r="F2" s="41"/>
      <c r="G2" s="5"/>
      <c r="H2" s="5"/>
      <c r="I2" s="76"/>
      <c r="J2" s="76"/>
      <c r="K2" s="5"/>
      <c r="L2" s="5"/>
      <c r="M2" s="5"/>
      <c r="N2" s="5"/>
      <c r="O2" s="5"/>
      <c r="P2" s="5"/>
      <c r="Q2" s="5"/>
      <c r="R2" s="5"/>
    </row>
    <row r="3" spans="2:18" ht="54" x14ac:dyDescent="0.3">
      <c r="B3" s="5"/>
      <c r="C3" s="54"/>
      <c r="D3" s="55"/>
      <c r="E3" s="56"/>
      <c r="F3" s="75" t="s">
        <v>34</v>
      </c>
      <c r="G3" s="74" t="s">
        <v>45</v>
      </c>
      <c r="H3" s="56" t="s">
        <v>35</v>
      </c>
      <c r="I3" s="76" t="s">
        <v>36</v>
      </c>
      <c r="J3" s="76" t="s">
        <v>37</v>
      </c>
      <c r="K3" s="56" t="s">
        <v>38</v>
      </c>
      <c r="L3" s="74" t="s">
        <v>39</v>
      </c>
      <c r="M3" s="83" t="s">
        <v>40</v>
      </c>
      <c r="N3" s="83" t="s">
        <v>41</v>
      </c>
      <c r="O3" s="83" t="s">
        <v>44</v>
      </c>
      <c r="P3" s="74" t="s">
        <v>58</v>
      </c>
      <c r="Q3" s="74" t="s">
        <v>42</v>
      </c>
      <c r="R3" s="56" t="s">
        <v>43</v>
      </c>
    </row>
    <row r="4" spans="2:18" ht="18" x14ac:dyDescent="0.3">
      <c r="B4" s="5"/>
      <c r="C4" s="54"/>
      <c r="D4" s="55"/>
      <c r="E4" s="56"/>
      <c r="F4" s="57"/>
      <c r="G4" s="56"/>
      <c r="H4" s="56"/>
      <c r="I4" s="76"/>
      <c r="J4" s="76"/>
      <c r="K4" s="56"/>
      <c r="L4" s="56"/>
      <c r="M4" s="83"/>
      <c r="N4" s="83"/>
      <c r="O4" s="83"/>
      <c r="P4" s="56"/>
      <c r="Q4" s="56"/>
      <c r="R4" s="56"/>
    </row>
    <row r="5" spans="2:18" ht="18" x14ac:dyDescent="0.3">
      <c r="B5" s="5"/>
      <c r="C5" s="54"/>
      <c r="D5" s="55"/>
      <c r="E5" s="56"/>
      <c r="F5" s="57"/>
      <c r="G5" s="56"/>
      <c r="H5" s="56"/>
      <c r="I5" s="76"/>
      <c r="J5" s="76"/>
      <c r="K5" s="56"/>
      <c r="L5" s="56"/>
      <c r="M5" s="83"/>
      <c r="N5" s="83"/>
      <c r="O5" s="83"/>
      <c r="P5" s="56"/>
      <c r="Q5" s="56"/>
      <c r="R5" s="83"/>
    </row>
    <row r="6" spans="2:18" ht="18" x14ac:dyDescent="0.3">
      <c r="B6" s="5"/>
      <c r="C6" s="57"/>
      <c r="D6" s="58"/>
      <c r="E6" s="59"/>
      <c r="F6" s="58">
        <v>560</v>
      </c>
      <c r="G6" s="60">
        <v>725</v>
      </c>
      <c r="H6" s="58">
        <v>180.42</v>
      </c>
      <c r="I6" s="77">
        <v>154</v>
      </c>
      <c r="J6" s="77">
        <v>369.16</v>
      </c>
      <c r="K6" s="57">
        <v>150</v>
      </c>
      <c r="L6" s="57">
        <v>100</v>
      </c>
      <c r="M6" s="76">
        <v>177.53</v>
      </c>
      <c r="N6" s="77">
        <v>64.44</v>
      </c>
      <c r="O6" s="76">
        <v>4605.66</v>
      </c>
      <c r="P6" s="57">
        <v>300</v>
      </c>
      <c r="Q6" s="57">
        <v>250</v>
      </c>
      <c r="R6" s="84">
        <v>890</v>
      </c>
    </row>
    <row r="7" spans="2:18" ht="18.75" thickBot="1" x14ac:dyDescent="0.35">
      <c r="B7" s="5"/>
      <c r="C7" s="61" t="s">
        <v>27</v>
      </c>
      <c r="D7" s="62">
        <v>3080</v>
      </c>
      <c r="E7" s="63" t="s">
        <v>55</v>
      </c>
      <c r="F7" s="58"/>
      <c r="G7" s="60"/>
      <c r="H7" s="58"/>
      <c r="I7" s="77"/>
      <c r="J7" s="77"/>
      <c r="K7" s="57"/>
      <c r="L7" s="57"/>
      <c r="M7" s="76"/>
      <c r="N7" s="77"/>
      <c r="O7" s="76"/>
      <c r="P7" s="57" t="s">
        <v>51</v>
      </c>
      <c r="Q7" s="57" t="s">
        <v>51</v>
      </c>
      <c r="R7" s="84"/>
    </row>
    <row r="8" spans="2:18" ht="18.75" thickTop="1" x14ac:dyDescent="0.3">
      <c r="B8" s="5"/>
      <c r="C8" s="57"/>
      <c r="D8" s="81">
        <v>1300</v>
      </c>
      <c r="E8" s="59" t="s">
        <v>28</v>
      </c>
      <c r="F8" s="57">
        <v>330</v>
      </c>
      <c r="G8" s="57" t="s">
        <v>49</v>
      </c>
      <c r="H8" s="57">
        <v>186.07</v>
      </c>
      <c r="I8" s="77">
        <v>154</v>
      </c>
      <c r="J8" s="77">
        <v>497.4</v>
      </c>
      <c r="K8" s="57" t="s">
        <v>51</v>
      </c>
      <c r="L8" s="56" t="s">
        <v>51</v>
      </c>
      <c r="M8" s="76">
        <v>174.59</v>
      </c>
      <c r="N8" s="77">
        <v>50</v>
      </c>
      <c r="O8" s="76" t="s">
        <v>51</v>
      </c>
      <c r="P8" s="57"/>
      <c r="Q8" s="57"/>
      <c r="R8" s="84"/>
    </row>
    <row r="9" spans="2:18" ht="18" x14ac:dyDescent="0.3">
      <c r="C9" s="64"/>
      <c r="D9" s="82">
        <v>3000</v>
      </c>
      <c r="E9" s="64" t="s">
        <v>29</v>
      </c>
      <c r="F9" s="65">
        <v>203.49</v>
      </c>
      <c r="G9" s="65"/>
      <c r="H9" s="65">
        <v>154.68</v>
      </c>
      <c r="I9" s="78">
        <f>SUM(I6:I8)</f>
        <v>308</v>
      </c>
      <c r="J9" s="79">
        <v>572.75</v>
      </c>
      <c r="K9" s="65"/>
      <c r="L9" s="64"/>
      <c r="M9" s="80">
        <v>173.37</v>
      </c>
      <c r="N9" s="79">
        <v>58.25</v>
      </c>
      <c r="O9" s="80"/>
      <c r="P9" s="65"/>
      <c r="Q9" s="65"/>
      <c r="R9" s="86">
        <f>SUM(R6:R8)</f>
        <v>890</v>
      </c>
    </row>
    <row r="10" spans="2:18" ht="18" x14ac:dyDescent="0.3">
      <c r="C10" s="64"/>
      <c r="D10" s="82">
        <v>1950</v>
      </c>
      <c r="E10" s="64" t="s">
        <v>29</v>
      </c>
      <c r="F10" s="65">
        <v>5.23</v>
      </c>
      <c r="G10" s="65"/>
      <c r="H10" s="57">
        <v>50</v>
      </c>
      <c r="I10" s="79" t="s">
        <v>49</v>
      </c>
      <c r="J10" s="78">
        <f>SUM(J6:J9)</f>
        <v>1439.31</v>
      </c>
      <c r="K10" s="65"/>
      <c r="L10" s="64"/>
      <c r="M10" s="87">
        <f>SUM(M6:M9)</f>
        <v>525.49</v>
      </c>
      <c r="N10" s="88">
        <f>SUM(N6:N9)</f>
        <v>172.69</v>
      </c>
      <c r="O10" s="80"/>
      <c r="P10" s="65"/>
      <c r="Q10" s="65"/>
      <c r="R10" s="85" t="s">
        <v>51</v>
      </c>
    </row>
    <row r="11" spans="2:18" ht="18" x14ac:dyDescent="0.3">
      <c r="C11" s="64"/>
      <c r="D11" s="82">
        <v>2000</v>
      </c>
      <c r="E11" s="64" t="s">
        <v>29</v>
      </c>
      <c r="F11" s="69">
        <v>892.14</v>
      </c>
      <c r="G11" s="65"/>
      <c r="H11" s="65">
        <v>105.73</v>
      </c>
      <c r="I11" s="79"/>
      <c r="J11" s="79" t="s">
        <v>49</v>
      </c>
      <c r="K11" s="65"/>
      <c r="L11" s="64"/>
      <c r="M11" s="80" t="s">
        <v>51</v>
      </c>
      <c r="N11" s="80" t="s">
        <v>51</v>
      </c>
      <c r="O11" s="80"/>
      <c r="P11" s="64"/>
      <c r="Q11" s="64"/>
      <c r="R11" s="64"/>
    </row>
    <row r="12" spans="2:18" ht="18" x14ac:dyDescent="0.3">
      <c r="C12" s="64"/>
      <c r="D12" s="82">
        <v>1050</v>
      </c>
      <c r="E12" s="64" t="s">
        <v>29</v>
      </c>
      <c r="F12" s="66">
        <f>SUM(F6:F11)</f>
        <v>1990.8600000000001</v>
      </c>
      <c r="G12" s="65" t="s">
        <v>49</v>
      </c>
      <c r="H12" s="65">
        <v>187.23</v>
      </c>
      <c r="I12" s="79"/>
      <c r="J12" s="79"/>
      <c r="K12" s="65"/>
      <c r="L12" s="64"/>
      <c r="M12" s="80"/>
      <c r="N12" s="80"/>
      <c r="O12" s="80"/>
      <c r="P12" s="64"/>
      <c r="Q12" s="64"/>
      <c r="R12" s="64"/>
    </row>
    <row r="13" spans="2:18" ht="18" x14ac:dyDescent="0.3">
      <c r="C13" s="64"/>
      <c r="D13" s="82">
        <v>2500</v>
      </c>
      <c r="E13" s="64" t="s">
        <v>30</v>
      </c>
      <c r="F13" s="65"/>
      <c r="G13" s="65"/>
      <c r="H13" s="65">
        <v>185.28</v>
      </c>
      <c r="I13" s="79"/>
      <c r="J13" s="79"/>
      <c r="K13" s="65"/>
      <c r="L13" s="64"/>
      <c r="M13" s="64"/>
      <c r="N13" s="64"/>
      <c r="O13" s="64"/>
      <c r="P13" s="64"/>
      <c r="Q13" s="64"/>
      <c r="R13" s="64"/>
    </row>
    <row r="14" spans="2:18" ht="18" x14ac:dyDescent="0.3">
      <c r="C14" s="64"/>
      <c r="D14" s="82">
        <v>2000</v>
      </c>
      <c r="E14" s="64" t="s">
        <v>30</v>
      </c>
      <c r="F14" s="65"/>
      <c r="G14" s="65"/>
      <c r="H14" s="66">
        <f>SUM(H6:H13)</f>
        <v>1049.4100000000001</v>
      </c>
      <c r="I14" s="79" t="s">
        <v>49</v>
      </c>
      <c r="J14" s="79"/>
      <c r="K14" s="65"/>
      <c r="L14" s="64"/>
      <c r="M14" s="64"/>
      <c r="N14" s="64"/>
      <c r="O14" s="64"/>
      <c r="P14" s="64"/>
      <c r="Q14" s="64"/>
      <c r="R14" s="64"/>
    </row>
    <row r="15" spans="2:18" ht="18" x14ac:dyDescent="0.3">
      <c r="C15" s="64"/>
      <c r="D15" s="82">
        <v>1975</v>
      </c>
      <c r="E15" s="64" t="s">
        <v>31</v>
      </c>
      <c r="F15" s="65"/>
      <c r="G15" s="65"/>
      <c r="H15" s="65"/>
      <c r="I15" s="79"/>
      <c r="J15" s="79"/>
      <c r="K15" s="65"/>
      <c r="L15" s="64"/>
      <c r="M15" s="64"/>
      <c r="N15" s="64"/>
      <c r="O15" s="64"/>
      <c r="P15" s="64"/>
      <c r="Q15" s="64"/>
      <c r="R15" s="64"/>
    </row>
    <row r="16" spans="2:18" ht="36" x14ac:dyDescent="0.3">
      <c r="C16" s="64"/>
      <c r="D16" s="82">
        <v>850</v>
      </c>
      <c r="E16" s="64" t="s">
        <v>32</v>
      </c>
      <c r="F16" s="65"/>
      <c r="G16" s="64"/>
      <c r="H16" s="64" t="s">
        <v>46</v>
      </c>
      <c r="K16" s="64"/>
      <c r="L16" s="64"/>
      <c r="M16" s="64"/>
      <c r="N16" s="64"/>
      <c r="O16" s="64"/>
      <c r="P16" s="64"/>
      <c r="Q16" s="64"/>
      <c r="R16" s="64"/>
    </row>
    <row r="17" spans="3:18" ht="36" x14ac:dyDescent="0.3">
      <c r="C17" s="64"/>
      <c r="D17" s="57">
        <v>700</v>
      </c>
      <c r="E17" s="64" t="s">
        <v>33</v>
      </c>
      <c r="F17" s="65"/>
      <c r="G17" s="64"/>
      <c r="H17" s="64">
        <v>69.05</v>
      </c>
      <c r="K17" s="64"/>
      <c r="L17" s="64"/>
      <c r="M17" s="64"/>
      <c r="N17" s="64"/>
      <c r="O17" s="64"/>
      <c r="P17" s="64"/>
      <c r="Q17" s="64"/>
      <c r="R17" s="64"/>
    </row>
    <row r="18" spans="3:18" ht="18" x14ac:dyDescent="0.3">
      <c r="C18" s="64"/>
      <c r="D18" s="70">
        <v>1550</v>
      </c>
      <c r="E18" s="64" t="s">
        <v>28</v>
      </c>
      <c r="F18" s="65"/>
      <c r="G18" s="64"/>
      <c r="H18" s="64"/>
      <c r="K18" s="64"/>
      <c r="L18" s="64"/>
      <c r="M18" s="64"/>
      <c r="N18" s="64"/>
      <c r="O18" s="64"/>
      <c r="P18" s="64"/>
      <c r="Q18" s="64"/>
      <c r="R18" s="64"/>
    </row>
    <row r="19" spans="3:18" ht="36" x14ac:dyDescent="0.3">
      <c r="C19" s="64"/>
      <c r="D19" s="66">
        <f>SUM(D8:D18)</f>
        <v>18875</v>
      </c>
      <c r="E19" s="64"/>
      <c r="F19" s="65">
        <f>F12+H14+I9+J10+K6+L6+M10+N10+O6+P6+Q6+R6+G6</f>
        <v>12506.419999999998</v>
      </c>
      <c r="G19" s="64" t="s">
        <v>56</v>
      </c>
      <c r="H19" s="64"/>
      <c r="K19" s="64"/>
      <c r="L19" s="64"/>
      <c r="M19" s="64"/>
      <c r="N19" s="64"/>
      <c r="O19" s="64"/>
      <c r="P19" s="64"/>
      <c r="Q19" s="64"/>
      <c r="R19" s="64"/>
    </row>
    <row r="20" spans="3:18" ht="18" x14ac:dyDescent="0.3">
      <c r="C20" s="64"/>
      <c r="D20" s="64"/>
      <c r="E20" s="64"/>
      <c r="F20" s="65">
        <f>D19-F19</f>
        <v>6368.5800000000017</v>
      </c>
      <c r="G20" s="71" t="s">
        <v>57</v>
      </c>
      <c r="H20" s="64"/>
      <c r="K20" s="64"/>
      <c r="L20" s="64"/>
      <c r="M20" s="64"/>
      <c r="N20" s="64"/>
      <c r="O20" s="64"/>
      <c r="P20" s="64"/>
      <c r="Q20" s="64"/>
      <c r="R20" s="64"/>
    </row>
    <row r="21" spans="3:18" ht="36" x14ac:dyDescent="0.3">
      <c r="C21" s="64"/>
      <c r="D21" s="64"/>
      <c r="E21" s="64"/>
      <c r="F21" s="66">
        <v>6881.4</v>
      </c>
      <c r="G21" s="64" t="s">
        <v>48</v>
      </c>
      <c r="H21" s="64"/>
      <c r="K21" s="64"/>
      <c r="L21" s="64"/>
      <c r="M21" s="64"/>
      <c r="N21" s="64"/>
      <c r="O21" s="64"/>
      <c r="P21" s="64"/>
      <c r="Q21" s="64"/>
      <c r="R21" s="64"/>
    </row>
    <row r="22" spans="3:18" ht="18" x14ac:dyDescent="0.3">
      <c r="C22" s="64"/>
      <c r="D22" s="64"/>
      <c r="E22" s="64"/>
      <c r="F22" s="65">
        <f>F21-F20</f>
        <v>512.81999999999789</v>
      </c>
      <c r="G22" s="64" t="s">
        <v>47</v>
      </c>
      <c r="H22" s="64"/>
      <c r="K22" s="64"/>
      <c r="L22" s="64"/>
      <c r="M22" s="64"/>
      <c r="N22" s="64"/>
      <c r="O22" s="64"/>
      <c r="P22" s="64"/>
      <c r="Q22" s="64"/>
      <c r="R22" s="64"/>
    </row>
    <row r="23" spans="3:18" ht="18" x14ac:dyDescent="0.3">
      <c r="C23" s="64"/>
      <c r="D23" s="64"/>
      <c r="E23" s="64"/>
      <c r="F23" s="65"/>
      <c r="G23" s="64"/>
      <c r="H23" s="64"/>
      <c r="K23" s="64"/>
      <c r="L23" s="64"/>
      <c r="M23" s="64"/>
      <c r="N23" s="64"/>
      <c r="O23" s="64"/>
      <c r="P23" s="64"/>
      <c r="Q23" s="64"/>
      <c r="R23" s="64"/>
    </row>
    <row r="24" spans="3:18" ht="18" x14ac:dyDescent="0.3">
      <c r="C24" s="64"/>
      <c r="D24" s="72"/>
      <c r="E24" s="64"/>
      <c r="F24" s="65"/>
      <c r="G24" s="64"/>
      <c r="H24" s="64"/>
      <c r="K24" s="64"/>
      <c r="L24" s="64"/>
      <c r="M24" s="64"/>
      <c r="N24" s="64"/>
      <c r="O24" s="64"/>
      <c r="P24" s="64"/>
      <c r="Q24" s="64"/>
      <c r="R24" s="64"/>
    </row>
    <row r="25" spans="3:18" x14ac:dyDescent="0.3">
      <c r="F25" s="48"/>
    </row>
    <row r="26" spans="3:18" x14ac:dyDescent="0.3">
      <c r="F26" s="48"/>
    </row>
    <row r="27" spans="3:18" x14ac:dyDescent="0.3">
      <c r="F27" s="48"/>
    </row>
    <row r="28" spans="3:18" x14ac:dyDescent="0.3">
      <c r="F28" s="48"/>
    </row>
    <row r="29" spans="3:18" x14ac:dyDescent="0.3">
      <c r="F29" s="48"/>
    </row>
    <row r="30" spans="3:18" x14ac:dyDescent="0.3">
      <c r="F30" s="48"/>
    </row>
    <row r="31" spans="3:18" x14ac:dyDescent="0.3">
      <c r="F31" s="48"/>
    </row>
    <row r="32" spans="3:18" x14ac:dyDescent="0.3">
      <c r="F32" s="48"/>
    </row>
    <row r="33" spans="6:6" x14ac:dyDescent="0.3">
      <c r="F33" s="48"/>
    </row>
    <row r="34" spans="6:6" x14ac:dyDescent="0.3">
      <c r="F34" s="48"/>
    </row>
    <row r="35" spans="6:6" x14ac:dyDescent="0.3">
      <c r="F35" s="48"/>
    </row>
    <row r="36" spans="6:6" x14ac:dyDescent="0.3">
      <c r="F36" s="48"/>
    </row>
    <row r="37" spans="6:6" x14ac:dyDescent="0.3">
      <c r="F37" s="48"/>
    </row>
    <row r="38" spans="6:6" x14ac:dyDescent="0.3">
      <c r="F38" s="48"/>
    </row>
    <row r="39" spans="6:6" x14ac:dyDescent="0.3">
      <c r="F39" s="48"/>
    </row>
    <row r="40" spans="6:6" x14ac:dyDescent="0.3">
      <c r="F40" s="48"/>
    </row>
    <row r="41" spans="6:6" x14ac:dyDescent="0.3">
      <c r="F41" s="48"/>
    </row>
    <row r="42" spans="6:6" x14ac:dyDescent="0.3">
      <c r="F42" s="48"/>
    </row>
    <row r="43" spans="6:6" x14ac:dyDescent="0.3">
      <c r="F43" s="48"/>
    </row>
    <row r="44" spans="6:6" x14ac:dyDescent="0.3">
      <c r="F44" s="48"/>
    </row>
    <row r="45" spans="6:6" x14ac:dyDescent="0.3">
      <c r="F45" s="48"/>
    </row>
    <row r="46" spans="6:6" x14ac:dyDescent="0.3">
      <c r="F46" s="48"/>
    </row>
    <row r="47" spans="6:6" x14ac:dyDescent="0.3">
      <c r="F47" s="48"/>
    </row>
    <row r="48" spans="6:6" x14ac:dyDescent="0.3">
      <c r="F48" s="48"/>
    </row>
    <row r="49" spans="6:6" x14ac:dyDescent="0.3">
      <c r="F49" s="48"/>
    </row>
    <row r="50" spans="6:6" x14ac:dyDescent="0.3">
      <c r="F50" s="48"/>
    </row>
    <row r="51" spans="6:6" x14ac:dyDescent="0.3">
      <c r="F51" s="48"/>
    </row>
    <row r="52" spans="6:6" x14ac:dyDescent="0.3">
      <c r="F52" s="48"/>
    </row>
    <row r="53" spans="6:6" x14ac:dyDescent="0.3">
      <c r="F53" s="48"/>
    </row>
    <row r="54" spans="6:6" x14ac:dyDescent="0.3">
      <c r="F54" s="48"/>
    </row>
    <row r="55" spans="6:6" x14ac:dyDescent="0.3">
      <c r="F55" s="48"/>
    </row>
    <row r="56" spans="6:6" x14ac:dyDescent="0.3">
      <c r="F56" s="48"/>
    </row>
    <row r="57" spans="6:6" x14ac:dyDescent="0.3">
      <c r="F57" s="48"/>
    </row>
    <row r="58" spans="6:6" x14ac:dyDescent="0.3">
      <c r="F58" s="48"/>
    </row>
    <row r="59" spans="6:6" x14ac:dyDescent="0.3">
      <c r="F59" s="48"/>
    </row>
    <row r="60" spans="6:6" x14ac:dyDescent="0.3">
      <c r="F60" s="48"/>
    </row>
    <row r="61" spans="6:6" x14ac:dyDescent="0.3">
      <c r="F61" s="48"/>
    </row>
    <row r="62" spans="6:6" x14ac:dyDescent="0.3">
      <c r="F62" s="48"/>
    </row>
    <row r="63" spans="6:6" x14ac:dyDescent="0.3">
      <c r="F63" s="48"/>
    </row>
    <row r="64" spans="6:6" x14ac:dyDescent="0.3">
      <c r="F64" s="48"/>
    </row>
    <row r="65" spans="6:6" x14ac:dyDescent="0.3">
      <c r="F65" s="48"/>
    </row>
    <row r="66" spans="6:6" x14ac:dyDescent="0.3">
      <c r="F66" s="48"/>
    </row>
    <row r="67" spans="6:6" x14ac:dyDescent="0.3">
      <c r="F67" s="48"/>
    </row>
    <row r="68" spans="6:6" x14ac:dyDescent="0.3">
      <c r="F68" s="48"/>
    </row>
    <row r="69" spans="6:6" x14ac:dyDescent="0.3">
      <c r="F69" s="48"/>
    </row>
    <row r="70" spans="6:6" x14ac:dyDescent="0.3">
      <c r="F70" s="48"/>
    </row>
    <row r="71" spans="6:6" x14ac:dyDescent="0.3">
      <c r="F71" s="48"/>
    </row>
    <row r="72" spans="6:6" x14ac:dyDescent="0.3">
      <c r="F72" s="48"/>
    </row>
    <row r="73" spans="6:6" x14ac:dyDescent="0.3">
      <c r="F73" s="48"/>
    </row>
    <row r="74" spans="6:6" x14ac:dyDescent="0.3">
      <c r="F74" s="48"/>
    </row>
    <row r="75" spans="6:6" x14ac:dyDescent="0.3">
      <c r="F75" s="48"/>
    </row>
    <row r="76" spans="6:6" x14ac:dyDescent="0.3">
      <c r="F76" s="48"/>
    </row>
    <row r="77" spans="6:6" x14ac:dyDescent="0.3">
      <c r="F77" s="48"/>
    </row>
    <row r="78" spans="6:6" x14ac:dyDescent="0.3">
      <c r="F78" s="48"/>
    </row>
    <row r="79" spans="6:6" x14ac:dyDescent="0.3">
      <c r="F79" s="48"/>
    </row>
    <row r="80" spans="6:6" x14ac:dyDescent="0.3">
      <c r="F80" s="48"/>
    </row>
    <row r="81" spans="6:6" x14ac:dyDescent="0.3">
      <c r="F81" s="48"/>
    </row>
    <row r="82" spans="6:6" x14ac:dyDescent="0.3">
      <c r="F82" s="48"/>
    </row>
    <row r="83" spans="6:6" x14ac:dyDescent="0.3">
      <c r="F83" s="48"/>
    </row>
    <row r="84" spans="6:6" x14ac:dyDescent="0.3">
      <c r="F84" s="48"/>
    </row>
    <row r="85" spans="6:6" x14ac:dyDescent="0.3">
      <c r="F85" s="48"/>
    </row>
    <row r="86" spans="6:6" x14ac:dyDescent="0.3">
      <c r="F86" s="48"/>
    </row>
    <row r="87" spans="6:6" x14ac:dyDescent="0.3">
      <c r="F87" s="48"/>
    </row>
    <row r="88" spans="6:6" x14ac:dyDescent="0.3">
      <c r="F88" s="48"/>
    </row>
    <row r="89" spans="6:6" x14ac:dyDescent="0.3">
      <c r="F89" s="48"/>
    </row>
    <row r="90" spans="6:6" x14ac:dyDescent="0.3">
      <c r="F90" s="48"/>
    </row>
    <row r="91" spans="6:6" x14ac:dyDescent="0.3">
      <c r="F91" s="48"/>
    </row>
    <row r="92" spans="6:6" x14ac:dyDescent="0.3">
      <c r="F92" s="48"/>
    </row>
    <row r="93" spans="6:6" x14ac:dyDescent="0.3">
      <c r="F93" s="48"/>
    </row>
    <row r="94" spans="6:6" x14ac:dyDescent="0.3">
      <c r="F94" s="48"/>
    </row>
    <row r="95" spans="6:6" x14ac:dyDescent="0.3">
      <c r="F95" s="48"/>
    </row>
    <row r="96" spans="6:6" x14ac:dyDescent="0.3">
      <c r="F96" s="48"/>
    </row>
    <row r="97" spans="6:6" x14ac:dyDescent="0.3">
      <c r="F97" s="48"/>
    </row>
    <row r="98" spans="6:6" x14ac:dyDescent="0.3">
      <c r="F98" s="48"/>
    </row>
    <row r="99" spans="6:6" x14ac:dyDescent="0.3">
      <c r="F99" s="48"/>
    </row>
    <row r="100" spans="6:6" x14ac:dyDescent="0.3">
      <c r="F100" s="48"/>
    </row>
    <row r="101" spans="6:6" x14ac:dyDescent="0.3">
      <c r="F101" s="48"/>
    </row>
    <row r="102" spans="6:6" x14ac:dyDescent="0.3">
      <c r="F102" s="48"/>
    </row>
    <row r="103" spans="6:6" x14ac:dyDescent="0.3">
      <c r="F103" s="48"/>
    </row>
    <row r="104" spans="6:6" x14ac:dyDescent="0.3">
      <c r="F104" s="48"/>
    </row>
  </sheetData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68"/>
  <sheetViews>
    <sheetView topLeftCell="E3" zoomScale="118" zoomScaleNormal="118" workbookViewId="0">
      <selection activeCell="G4" sqref="G4"/>
    </sheetView>
  </sheetViews>
  <sheetFormatPr defaultRowHeight="16.5" x14ac:dyDescent="0.3"/>
  <cols>
    <col min="2" max="2" width="9.75" bestFit="1" customWidth="1"/>
    <col min="3" max="3" width="9.625" bestFit="1" customWidth="1"/>
    <col min="4" max="4" width="10.625" bestFit="1" customWidth="1"/>
    <col min="6" max="6" width="10.625" bestFit="1" customWidth="1"/>
    <col min="7" max="7" width="11" style="48" customWidth="1"/>
    <col min="9" max="9" width="10.625" bestFit="1" customWidth="1"/>
    <col min="15" max="15" width="12" customWidth="1"/>
    <col min="16" max="16" width="10.375" customWidth="1"/>
  </cols>
  <sheetData>
    <row r="2" spans="2:16" ht="66" x14ac:dyDescent="0.3">
      <c r="B2" t="s">
        <v>59</v>
      </c>
      <c r="C2" t="s">
        <v>60</v>
      </c>
      <c r="D2" t="s">
        <v>61</v>
      </c>
      <c r="F2" t="s">
        <v>62</v>
      </c>
      <c r="G2" s="48" t="s">
        <v>43</v>
      </c>
      <c r="H2" t="s">
        <v>63</v>
      </c>
      <c r="I2" t="s">
        <v>80</v>
      </c>
      <c r="J2" t="s">
        <v>65</v>
      </c>
      <c r="K2" t="s">
        <v>66</v>
      </c>
      <c r="L2" t="s">
        <v>35</v>
      </c>
      <c r="M2" t="s">
        <v>67</v>
      </c>
      <c r="N2" t="s">
        <v>68</v>
      </c>
      <c r="O2" t="s">
        <v>71</v>
      </c>
    </row>
    <row r="4" spans="2:16" x14ac:dyDescent="0.3">
      <c r="B4" s="48">
        <v>7924.03</v>
      </c>
      <c r="C4" s="48">
        <v>1201.07</v>
      </c>
      <c r="D4" s="48">
        <v>1248.5899999999999</v>
      </c>
      <c r="E4" s="48" t="s">
        <v>28</v>
      </c>
      <c r="F4" s="48">
        <v>3950</v>
      </c>
      <c r="G4" s="48">
        <v>750</v>
      </c>
      <c r="H4" s="48">
        <v>230</v>
      </c>
      <c r="I4" s="96">
        <v>1137</v>
      </c>
      <c r="J4" s="48">
        <v>400</v>
      </c>
      <c r="K4" s="48">
        <v>500</v>
      </c>
      <c r="L4" s="48">
        <v>85.33</v>
      </c>
      <c r="M4" s="48">
        <v>75.5</v>
      </c>
      <c r="N4" s="48">
        <v>96</v>
      </c>
      <c r="O4" s="48">
        <v>200</v>
      </c>
    </row>
    <row r="5" spans="2:16" x14ac:dyDescent="0.3">
      <c r="B5" s="48">
        <v>34.4</v>
      </c>
      <c r="C5" s="48">
        <v>1458.55</v>
      </c>
      <c r="D5" s="48">
        <v>1659.55</v>
      </c>
      <c r="E5" s="48"/>
      <c r="F5" s="48">
        <v>500</v>
      </c>
      <c r="G5" s="48">
        <v>1500</v>
      </c>
      <c r="H5" s="48">
        <v>200</v>
      </c>
      <c r="J5" s="48">
        <v>400</v>
      </c>
      <c r="K5" s="48">
        <v>30</v>
      </c>
      <c r="L5" s="48">
        <v>316.66000000000003</v>
      </c>
      <c r="M5">
        <v>103</v>
      </c>
    </row>
    <row r="6" spans="2:16" x14ac:dyDescent="0.3">
      <c r="B6" s="48">
        <v>340.29</v>
      </c>
      <c r="C6" s="48">
        <v>1227.8800000000001</v>
      </c>
      <c r="D6" s="48">
        <v>919.04</v>
      </c>
      <c r="E6" s="48"/>
      <c r="F6" s="48">
        <v>500</v>
      </c>
      <c r="G6" s="48">
        <v>1000</v>
      </c>
      <c r="H6" s="48">
        <v>366</v>
      </c>
      <c r="J6" s="48">
        <v>400</v>
      </c>
      <c r="K6" s="48">
        <v>297</v>
      </c>
      <c r="L6" s="48">
        <v>194.83</v>
      </c>
    </row>
    <row r="7" spans="2:16" x14ac:dyDescent="0.3">
      <c r="B7" s="48"/>
      <c r="C7" s="48"/>
      <c r="D7" s="48">
        <v>332.38</v>
      </c>
      <c r="E7" s="48"/>
      <c r="F7" s="48">
        <v>500</v>
      </c>
      <c r="G7" s="48">
        <v>1500</v>
      </c>
      <c r="H7" s="48">
        <v>540</v>
      </c>
      <c r="K7" s="48">
        <v>917.87</v>
      </c>
    </row>
    <row r="8" spans="2:16" x14ac:dyDescent="0.3">
      <c r="B8" s="89">
        <f>SUM(B4:B7)</f>
        <v>8298.7199999999993</v>
      </c>
      <c r="C8" s="89">
        <f>SUM(C4:C7)</f>
        <v>3887.5</v>
      </c>
      <c r="D8" s="48">
        <v>1355.97</v>
      </c>
      <c r="E8" s="48"/>
      <c r="F8" s="48">
        <v>500</v>
      </c>
      <c r="G8" s="48">
        <v>500</v>
      </c>
      <c r="K8" s="48"/>
    </row>
    <row r="9" spans="2:16" x14ac:dyDescent="0.3">
      <c r="B9" s="48"/>
      <c r="C9" s="48"/>
      <c r="D9" s="48">
        <v>41.55</v>
      </c>
      <c r="E9" s="48"/>
      <c r="F9" s="48">
        <v>500</v>
      </c>
      <c r="G9" s="48">
        <v>1000</v>
      </c>
      <c r="K9" s="48"/>
    </row>
    <row r="10" spans="2:16" x14ac:dyDescent="0.3">
      <c r="B10" s="48"/>
      <c r="C10" s="48"/>
      <c r="D10" s="48">
        <v>107.8</v>
      </c>
      <c r="E10" s="48"/>
      <c r="F10" s="48"/>
      <c r="G10" s="48">
        <v>1500</v>
      </c>
    </row>
    <row r="11" spans="2:16" x14ac:dyDescent="0.3">
      <c r="B11" s="48"/>
      <c r="C11" s="48"/>
      <c r="D11" s="48"/>
      <c r="E11" s="48"/>
      <c r="F11" s="48"/>
      <c r="G11" s="48">
        <v>6000</v>
      </c>
    </row>
    <row r="12" spans="2:16" x14ac:dyDescent="0.3">
      <c r="B12" s="48"/>
      <c r="C12" s="48"/>
      <c r="D12" s="48">
        <f>SUM(D4:D11)</f>
        <v>5664.88</v>
      </c>
      <c r="E12" s="48"/>
      <c r="F12" s="48"/>
      <c r="G12" s="48">
        <v>1098</v>
      </c>
    </row>
    <row r="13" spans="2:16" x14ac:dyDescent="0.3">
      <c r="G13" s="48">
        <v>2000</v>
      </c>
    </row>
    <row r="14" spans="2:16" x14ac:dyDescent="0.3">
      <c r="D14" s="48">
        <v>950.68</v>
      </c>
      <c r="E14" t="s">
        <v>29</v>
      </c>
      <c r="G14" s="48">
        <v>1000</v>
      </c>
    </row>
    <row r="15" spans="2:16" x14ac:dyDescent="0.3">
      <c r="D15" s="48">
        <v>1835.68</v>
      </c>
      <c r="F15" s="90">
        <f>SUM(F4:F14)</f>
        <v>6450</v>
      </c>
      <c r="G15" s="90">
        <f>SUM(G4:G14)</f>
        <v>17848</v>
      </c>
      <c r="H15" s="90">
        <f t="shared" ref="H15:O15" si="0">SUM(H4:H14)</f>
        <v>1336</v>
      </c>
      <c r="I15" s="90">
        <f t="shared" si="0"/>
        <v>1137</v>
      </c>
      <c r="J15" s="90">
        <f t="shared" si="0"/>
        <v>1200</v>
      </c>
      <c r="K15" s="90">
        <f t="shared" si="0"/>
        <v>1744.87</v>
      </c>
      <c r="L15" s="90">
        <f t="shared" si="0"/>
        <v>596.82000000000005</v>
      </c>
      <c r="M15" s="90">
        <f t="shared" si="0"/>
        <v>178.5</v>
      </c>
      <c r="N15" s="90">
        <f t="shared" si="0"/>
        <v>96</v>
      </c>
      <c r="O15" s="90">
        <f t="shared" si="0"/>
        <v>200</v>
      </c>
      <c r="P15" s="92">
        <f>SUM(F15:O15)</f>
        <v>30787.19</v>
      </c>
    </row>
    <row r="16" spans="2:16" x14ac:dyDescent="0.3">
      <c r="D16" s="48">
        <v>1380.68</v>
      </c>
      <c r="F16" t="s">
        <v>51</v>
      </c>
      <c r="G16" s="86" t="s">
        <v>51</v>
      </c>
    </row>
    <row r="17" spans="4:5" x14ac:dyDescent="0.3">
      <c r="D17" s="48">
        <v>1505.46</v>
      </c>
    </row>
    <row r="18" spans="4:5" x14ac:dyDescent="0.3">
      <c r="D18" s="48">
        <v>46</v>
      </c>
    </row>
    <row r="19" spans="4:5" x14ac:dyDescent="0.3">
      <c r="D19" s="48">
        <v>368</v>
      </c>
    </row>
    <row r="20" spans="4:5" x14ac:dyDescent="0.3">
      <c r="D20" s="126">
        <f>SUM(D14:D19)</f>
        <v>6086.5</v>
      </c>
    </row>
    <row r="21" spans="4:5" x14ac:dyDescent="0.3">
      <c r="D21" s="48">
        <v>92.4</v>
      </c>
      <c r="E21" t="s">
        <v>30</v>
      </c>
    </row>
    <row r="22" spans="4:5" x14ac:dyDescent="0.3">
      <c r="D22" s="48">
        <v>1560.28</v>
      </c>
    </row>
    <row r="23" spans="4:5" x14ac:dyDescent="0.3">
      <c r="D23" s="48">
        <v>46</v>
      </c>
    </row>
    <row r="25" spans="4:5" x14ac:dyDescent="0.3">
      <c r="D25" s="48">
        <v>950.68</v>
      </c>
      <c r="E25" t="s">
        <v>31</v>
      </c>
    </row>
    <row r="26" spans="4:5" x14ac:dyDescent="0.3">
      <c r="D26" s="48">
        <v>1835.68</v>
      </c>
    </row>
    <row r="27" spans="4:5" x14ac:dyDescent="0.3">
      <c r="D27" s="48">
        <v>1177.83</v>
      </c>
    </row>
    <row r="28" spans="4:5" x14ac:dyDescent="0.3">
      <c r="D28" s="48">
        <v>248</v>
      </c>
    </row>
    <row r="29" spans="4:5" x14ac:dyDescent="0.3">
      <c r="D29" s="48">
        <v>35.229999999999997</v>
      </c>
    </row>
    <row r="30" spans="4:5" x14ac:dyDescent="0.3">
      <c r="D30" s="48">
        <v>92.4</v>
      </c>
    </row>
    <row r="31" spans="4:5" x14ac:dyDescent="0.3">
      <c r="D31" s="126">
        <f>SUM(D25:D30)</f>
        <v>4339.82</v>
      </c>
    </row>
    <row r="32" spans="4:5" x14ac:dyDescent="0.3">
      <c r="D32" s="48">
        <v>1835.68</v>
      </c>
      <c r="E32" t="s">
        <v>32</v>
      </c>
    </row>
    <row r="33" spans="4:5" x14ac:dyDescent="0.3">
      <c r="D33" s="48">
        <v>0</v>
      </c>
    </row>
    <row r="34" spans="4:5" x14ac:dyDescent="0.3">
      <c r="D34" s="48">
        <v>1038.1400000000001</v>
      </c>
    </row>
    <row r="35" spans="4:5" x14ac:dyDescent="0.3">
      <c r="D35" s="48">
        <v>248</v>
      </c>
    </row>
    <row r="36" spans="4:5" x14ac:dyDescent="0.3">
      <c r="D36" s="48">
        <v>31</v>
      </c>
    </row>
    <row r="38" spans="4:5" x14ac:dyDescent="0.3">
      <c r="D38" s="48">
        <v>950.68</v>
      </c>
      <c r="E38" t="s">
        <v>64</v>
      </c>
    </row>
    <row r="39" spans="4:5" x14ac:dyDescent="0.3">
      <c r="D39" s="48">
        <v>366.67</v>
      </c>
    </row>
    <row r="40" spans="4:5" x14ac:dyDescent="0.3">
      <c r="D40" s="48">
        <v>666.67</v>
      </c>
    </row>
    <row r="41" spans="4:5" x14ac:dyDescent="0.3">
      <c r="D41" s="48">
        <v>1835.68</v>
      </c>
    </row>
    <row r="42" spans="4:5" x14ac:dyDescent="0.3">
      <c r="D42" s="48">
        <v>950.68</v>
      </c>
    </row>
    <row r="43" spans="4:5" x14ac:dyDescent="0.3">
      <c r="D43" s="48">
        <v>1038.1400000000001</v>
      </c>
    </row>
    <row r="44" spans="4:5" x14ac:dyDescent="0.3">
      <c r="D44" s="48">
        <v>330.66</v>
      </c>
    </row>
    <row r="45" spans="4:5" x14ac:dyDescent="0.3">
      <c r="D45" s="48">
        <v>41.33</v>
      </c>
    </row>
    <row r="46" spans="4:5" x14ac:dyDescent="0.3">
      <c r="D46" s="48">
        <v>154</v>
      </c>
    </row>
    <row r="47" spans="4:5" x14ac:dyDescent="0.3">
      <c r="D47" s="126">
        <f>SUM(D38:D46)</f>
        <v>6334.51</v>
      </c>
    </row>
    <row r="48" spans="4:5" ht="33" x14ac:dyDescent="0.3">
      <c r="D48" s="48">
        <v>107.8</v>
      </c>
      <c r="E48" t="s">
        <v>69</v>
      </c>
    </row>
    <row r="49" spans="4:8" x14ac:dyDescent="0.3">
      <c r="D49" s="94"/>
    </row>
    <row r="51" spans="4:8" ht="33" x14ac:dyDescent="0.3">
      <c r="D51" s="48">
        <v>1038.1400000000001</v>
      </c>
      <c r="E51" t="s">
        <v>70</v>
      </c>
    </row>
    <row r="52" spans="4:8" x14ac:dyDescent="0.3">
      <c r="D52" s="48">
        <v>248</v>
      </c>
    </row>
    <row r="53" spans="4:8" x14ac:dyDescent="0.3">
      <c r="D53" s="48">
        <v>31</v>
      </c>
    </row>
    <row r="54" spans="4:8" x14ac:dyDescent="0.3">
      <c r="D54" s="48">
        <v>950.68</v>
      </c>
    </row>
    <row r="55" spans="4:8" x14ac:dyDescent="0.3">
      <c r="D55" s="48">
        <v>1835.68</v>
      </c>
    </row>
    <row r="56" spans="4:8" x14ac:dyDescent="0.3">
      <c r="D56" s="48">
        <v>1835.68</v>
      </c>
    </row>
    <row r="57" spans="4:8" x14ac:dyDescent="0.3">
      <c r="D57" s="48">
        <v>562.35</v>
      </c>
    </row>
    <row r="58" spans="4:8" x14ac:dyDescent="0.3">
      <c r="D58" s="48">
        <v>950.68</v>
      </c>
    </row>
    <row r="59" spans="4:8" x14ac:dyDescent="0.3">
      <c r="D59" s="48">
        <v>311.67</v>
      </c>
    </row>
    <row r="60" spans="4:8" x14ac:dyDescent="0.3">
      <c r="D60" s="48">
        <v>686.27</v>
      </c>
    </row>
    <row r="61" spans="4:8" x14ac:dyDescent="0.3">
      <c r="D61" s="48">
        <v>1038.1400000000001</v>
      </c>
    </row>
    <row r="62" spans="4:8" x14ac:dyDescent="0.3">
      <c r="D62" s="48">
        <v>330.66</v>
      </c>
    </row>
    <row r="63" spans="4:8" x14ac:dyDescent="0.3">
      <c r="D63" s="48">
        <v>41.33</v>
      </c>
      <c r="G63" s="48">
        <v>482000</v>
      </c>
      <c r="H63" t="s">
        <v>73</v>
      </c>
    </row>
    <row r="64" spans="4:8" x14ac:dyDescent="0.3">
      <c r="D64" s="126">
        <f>SUM(D52:D63)</f>
        <v>8822.14</v>
      </c>
      <c r="G64" s="48">
        <f>355400+4500+4500+7350.06+1614+10500.09+9000-6294.81</f>
        <v>386569.34</v>
      </c>
      <c r="H64" t="s">
        <v>68</v>
      </c>
    </row>
    <row r="65" spans="4:9" ht="33" x14ac:dyDescent="0.3">
      <c r="D65" s="93">
        <f>SUM(D4:D64)</f>
        <v>68493.140000000014</v>
      </c>
      <c r="F65" s="95">
        <f>D65+P15+B8+C8</f>
        <v>111466.55000000002</v>
      </c>
      <c r="G65" s="48">
        <f>F65</f>
        <v>111466.55000000002</v>
      </c>
      <c r="H65" t="s">
        <v>74</v>
      </c>
      <c r="I65" s="95"/>
    </row>
    <row r="66" spans="4:9" x14ac:dyDescent="0.3">
      <c r="G66" s="89">
        <f>G63-G64-G65</f>
        <v>-16035.890000000043</v>
      </c>
      <c r="H66" s="91" t="s">
        <v>75</v>
      </c>
    </row>
    <row r="67" spans="4:9" ht="49.5" x14ac:dyDescent="0.3">
      <c r="G67" s="48">
        <v>15211.96</v>
      </c>
      <c r="H67" t="s">
        <v>72</v>
      </c>
      <c r="I67" s="95"/>
    </row>
    <row r="68" spans="4:9" x14ac:dyDescent="0.3">
      <c r="H68" t="s">
        <v>76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10"/>
  <sheetViews>
    <sheetView workbookViewId="0">
      <selection activeCell="M13" sqref="M13"/>
    </sheetView>
  </sheetViews>
  <sheetFormatPr defaultRowHeight="16.5" x14ac:dyDescent="0.3"/>
  <cols>
    <col min="1" max="1" width="7.375" customWidth="1"/>
    <col min="3" max="3" width="10.75" customWidth="1"/>
    <col min="5" max="5" width="8.125" customWidth="1"/>
    <col min="6" max="6" width="9.625" bestFit="1" customWidth="1"/>
    <col min="10" max="10" width="11.75" customWidth="1"/>
    <col min="12" max="12" width="9.5" customWidth="1"/>
    <col min="13" max="13" width="11.5" customWidth="1"/>
    <col min="14" max="14" width="9.625" bestFit="1" customWidth="1"/>
  </cols>
  <sheetData>
    <row r="2" spans="1:14" ht="49.5" customHeight="1" x14ac:dyDescent="0.3">
      <c r="A2" s="151" t="s">
        <v>98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4" ht="33" x14ac:dyDescent="0.3">
      <c r="A3" s="130" t="s">
        <v>87</v>
      </c>
      <c r="B3" s="130" t="s">
        <v>88</v>
      </c>
      <c r="C3" s="130" t="s">
        <v>86</v>
      </c>
      <c r="D3" s="130" t="s">
        <v>89</v>
      </c>
      <c r="E3" s="130" t="s">
        <v>90</v>
      </c>
      <c r="F3" s="130" t="s">
        <v>91</v>
      </c>
      <c r="G3" s="130" t="s">
        <v>92</v>
      </c>
      <c r="H3" s="130" t="s">
        <v>93</v>
      </c>
      <c r="I3" s="130" t="s">
        <v>94</v>
      </c>
      <c r="J3" s="130" t="s">
        <v>95</v>
      </c>
      <c r="K3" s="130" t="s">
        <v>96</v>
      </c>
      <c r="L3" s="130" t="s">
        <v>97</v>
      </c>
      <c r="M3" s="131" t="s">
        <v>33</v>
      </c>
      <c r="N3" s="130" t="s">
        <v>22</v>
      </c>
    </row>
    <row r="4" spans="1:14" x14ac:dyDescent="0.3">
      <c r="A4" s="127">
        <v>3080</v>
      </c>
      <c r="B4" s="128">
        <f>57.4</f>
        <v>57.4</v>
      </c>
      <c r="C4" s="128">
        <f>69.05+3.6</f>
        <v>72.649999999999991</v>
      </c>
      <c r="D4" s="128">
        <v>69.05</v>
      </c>
      <c r="E4" s="128">
        <f>69.05</f>
        <v>69.05</v>
      </c>
      <c r="F4" s="128">
        <f>69.05</f>
        <v>69.05</v>
      </c>
      <c r="G4" s="128">
        <f>10.45+69.05+3.6</f>
        <v>83.1</v>
      </c>
      <c r="H4" s="128">
        <f>69.05</f>
        <v>69.05</v>
      </c>
      <c r="I4" s="128">
        <f>69.05</f>
        <v>69.05</v>
      </c>
      <c r="J4" s="128">
        <f>69.05+10.45</f>
        <v>79.5</v>
      </c>
      <c r="K4" s="128">
        <f>69.05</f>
        <v>69.05</v>
      </c>
      <c r="L4" s="128">
        <f>11.05+72.55</f>
        <v>83.6</v>
      </c>
      <c r="M4" s="128">
        <f>72.55</f>
        <v>72.55</v>
      </c>
      <c r="N4" s="129">
        <f>SUM(B4:M4)</f>
        <v>863.09999999999991</v>
      </c>
    </row>
    <row r="5" spans="1:14" x14ac:dyDescent="0.3">
      <c r="A5" s="127">
        <v>10655</v>
      </c>
      <c r="B5" s="128">
        <f>57.4+14.4</f>
        <v>71.8</v>
      </c>
      <c r="C5" s="128">
        <f>69.05+3.6</f>
        <v>72.649999999999991</v>
      </c>
      <c r="D5" s="128">
        <f>69.05+7.2</f>
        <v>76.25</v>
      </c>
      <c r="E5" s="128">
        <f>69.05+14.4</f>
        <v>83.45</v>
      </c>
      <c r="F5" s="128">
        <f>69.05+3.6</f>
        <v>72.649999999999991</v>
      </c>
      <c r="G5" s="128">
        <f>69.05</f>
        <v>69.05</v>
      </c>
      <c r="H5" s="128">
        <v>69.05</v>
      </c>
      <c r="I5" s="128">
        <v>69.05</v>
      </c>
      <c r="J5" s="128">
        <f>69.05</f>
        <v>69.05</v>
      </c>
      <c r="K5" s="128">
        <f>69.05</f>
        <v>69.05</v>
      </c>
      <c r="L5" s="128">
        <f>72.55</f>
        <v>72.55</v>
      </c>
      <c r="M5" s="128">
        <f>72.55</f>
        <v>72.55</v>
      </c>
      <c r="N5" s="129">
        <f t="shared" ref="N5:N8" si="0">SUM(B5:M5)</f>
        <v>867.14999999999975</v>
      </c>
    </row>
    <row r="6" spans="1:14" x14ac:dyDescent="0.3">
      <c r="A6" s="127">
        <v>20655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9">
        <f t="shared" si="0"/>
        <v>0</v>
      </c>
    </row>
    <row r="7" spans="1:14" x14ac:dyDescent="0.3">
      <c r="A7" s="127">
        <v>10279</v>
      </c>
      <c r="B7" s="128">
        <f>57.4+14.4</f>
        <v>71.8</v>
      </c>
      <c r="C7" s="128">
        <v>69.05</v>
      </c>
      <c r="D7" s="128">
        <f>13.4+69.05+3.6</f>
        <v>86.05</v>
      </c>
      <c r="E7" s="128">
        <f>69.05+10.45+10.45</f>
        <v>89.95</v>
      </c>
      <c r="F7" s="128">
        <f>37+15.45+3+10.45+10.45+10.45+10.45+10.45+10.45+10.45+10.45+10.45+69.05+10.45+10.45</f>
        <v>239.45</v>
      </c>
      <c r="G7" s="128">
        <f>34.4+323.95+69.05+4.4</f>
        <v>431.79999999999995</v>
      </c>
      <c r="H7" s="128">
        <f>303.05+69.05+11</f>
        <v>383.1</v>
      </c>
      <c r="I7" s="128">
        <f>69.05+13.2+10.45+10.45+10.45</f>
        <v>113.60000000000001</v>
      </c>
      <c r="J7" s="128">
        <f>135.85+69.05</f>
        <v>204.89999999999998</v>
      </c>
      <c r="K7" s="128">
        <f>69.05+126.5</f>
        <v>195.55</v>
      </c>
      <c r="L7" s="128">
        <f>11.05+72.55+11.05</f>
        <v>94.649999999999991</v>
      </c>
      <c r="M7" s="128">
        <f>11.05*7+72.55</f>
        <v>149.9</v>
      </c>
      <c r="N7" s="129">
        <f t="shared" si="0"/>
        <v>2129.7999999999997</v>
      </c>
    </row>
    <row r="8" spans="1:14" x14ac:dyDescent="0.3">
      <c r="A8" s="127">
        <v>66476</v>
      </c>
      <c r="B8" s="128"/>
      <c r="C8" s="128"/>
      <c r="D8" s="128"/>
      <c r="E8" s="128"/>
      <c r="F8" s="128">
        <f>52</f>
        <v>52</v>
      </c>
      <c r="G8" s="128">
        <f>35+52+10.45+52.35</f>
        <v>149.80000000000001</v>
      </c>
      <c r="H8" s="128">
        <f>10.45+10.45+10.45+10.45+4.8+52+4.8</f>
        <v>103.39999999999999</v>
      </c>
      <c r="I8" s="128">
        <f>52+10.45</f>
        <v>62.45</v>
      </c>
      <c r="J8" s="128">
        <f>4.8+52+10.45</f>
        <v>67.25</v>
      </c>
      <c r="K8" s="128">
        <f>10.45+10.45+10.45+52+10.45</f>
        <v>93.8</v>
      </c>
      <c r="L8" s="128">
        <f>52</f>
        <v>52</v>
      </c>
      <c r="M8" s="128">
        <f>52</f>
        <v>52</v>
      </c>
      <c r="N8" s="129">
        <f t="shared" si="0"/>
        <v>632.69999999999993</v>
      </c>
    </row>
    <row r="9" spans="1:14" x14ac:dyDescent="0.3">
      <c r="M9" t="s">
        <v>85</v>
      </c>
      <c r="N9" s="126">
        <f>SUM(N4:N8)</f>
        <v>4492.7499999999991</v>
      </c>
    </row>
    <row r="10" spans="1:14" x14ac:dyDescent="0.3">
      <c r="L10" s="9"/>
      <c r="N10" s="95">
        <f>N9-'Introdução de Dados Financeiros'!C22</f>
        <v>209.89999999999873</v>
      </c>
    </row>
  </sheetData>
  <mergeCells count="1">
    <mergeCell ref="A2:N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I39"/>
  <sheetViews>
    <sheetView workbookViewId="0"/>
  </sheetViews>
  <sheetFormatPr defaultRowHeight="16.5" x14ac:dyDescent="0.3"/>
  <cols>
    <col min="2" max="2" width="32.75" customWidth="1"/>
  </cols>
  <sheetData>
    <row r="1" spans="1:9" s="9" customFormat="1" ht="34.5" customHeight="1" x14ac:dyDescent="0.3">
      <c r="A1" s="10" t="s">
        <v>1</v>
      </c>
    </row>
    <row r="2" spans="1:9" s="9" customFormat="1" x14ac:dyDescent="0.3">
      <c r="D2" s="6" t="s">
        <v>7</v>
      </c>
    </row>
    <row r="3" spans="1:9" ht="19.5" customHeight="1" x14ac:dyDescent="0.3">
      <c r="B3" t="s">
        <v>2</v>
      </c>
      <c r="C3" s="2" t="e">
        <f>AnoSelecionado</f>
        <v>#REF!</v>
      </c>
      <c r="D3" t="e">
        <f ca="1">MATCH(C3,ÚltimosAnos,0)+1</f>
        <v>#REF!</v>
      </c>
    </row>
    <row r="4" spans="1:9" ht="19.5" customHeight="1" x14ac:dyDescent="0.3">
      <c r="B4" t="s">
        <v>3</v>
      </c>
      <c r="C4" s="2" t="e">
        <f>C3-1</f>
        <v>#REF!</v>
      </c>
      <c r="D4" t="e">
        <f ca="1">MATCH(C4,ÚltimosAnos,0)+1</f>
        <v>#REF!</v>
      </c>
    </row>
    <row r="5" spans="1:9" ht="19.5" customHeight="1" x14ac:dyDescent="0.3"/>
    <row r="6" spans="1:9" ht="19.5" customHeight="1" thickBot="1" x14ac:dyDescent="0.35">
      <c r="B6" t="s">
        <v>4</v>
      </c>
      <c r="C6" s="1" t="e">
        <f ca="1">MATCH(C7,ÚltimosAnos,0)+1</f>
        <v>#REF!</v>
      </c>
      <c r="D6" s="1" t="e">
        <f ca="1">MATCH(D7,ÚltimosAnos,0)+1</f>
        <v>#REF!</v>
      </c>
      <c r="E6" s="1" t="e">
        <f ca="1">MATCH(E7,ÚltimosAnos,0)+1</f>
        <v>#REF!</v>
      </c>
      <c r="F6" s="1" t="e">
        <f ca="1">MATCH(F7,ÚltimosAnos,0)+1</f>
        <v>#REF!</v>
      </c>
      <c r="G6" s="1" t="e">
        <f ca="1">MATCH(G7,ÚltimosAnos,0)+1</f>
        <v>#REF!</v>
      </c>
      <c r="I6">
        <f ca="1">COUNT(C6:G6)</f>
        <v>0</v>
      </c>
    </row>
    <row r="7" spans="1:9" ht="19.5" thickBot="1" x14ac:dyDescent="0.35">
      <c r="B7" s="7" t="s">
        <v>5</v>
      </c>
      <c r="C7" s="11" t="e">
        <f>D7-1</f>
        <v>#REF!</v>
      </c>
      <c r="D7" s="11" t="e">
        <f>E7-1</f>
        <v>#REF!</v>
      </c>
      <c r="E7" s="11" t="e">
        <f>F7-1</f>
        <v>#REF!</v>
      </c>
      <c r="F7" s="11" t="e">
        <f>G7-1</f>
        <v>#REF!</v>
      </c>
      <c r="G7" s="11" t="e">
        <f>C3</f>
        <v>#REF!</v>
      </c>
      <c r="H7" s="7"/>
    </row>
    <row r="8" spans="1:9" ht="19.5" customHeight="1" x14ac:dyDescent="0.3">
      <c r="A8" t="e">
        <f>MATCH(B8,'Introdução de Dados Financeiros'!$B$6:$B$23,0)</f>
        <v>#REF!</v>
      </c>
      <c r="B8" t="e">
        <f>IF(#REF!="","",#REF!)</f>
        <v>#REF!</v>
      </c>
      <c r="C8" t="e">
        <f ca="1">IFERROR(INDEX('Introdução de Dados Financeiros'!$B$6:$C$23,$A8,C$6),NA())</f>
        <v>#N/A</v>
      </c>
      <c r="D8" t="e">
        <f ca="1">IFERROR(INDEX('Introdução de Dados Financeiros'!$B$6:$C$23,$A8,D$6),NA())</f>
        <v>#N/A</v>
      </c>
      <c r="E8" t="e">
        <f ca="1">IFERROR(INDEX('Introdução de Dados Financeiros'!$B$6:$C$23,$A8,E$6),NA())</f>
        <v>#N/A</v>
      </c>
      <c r="F8" t="e">
        <f ca="1">IFERROR(INDEX('Introdução de Dados Financeiros'!$B$6:$C$23,$A8,F$6),NA())</f>
        <v>#N/A</v>
      </c>
      <c r="G8" t="e">
        <f ca="1">IFERROR(INDEX('Introdução de Dados Financeiros'!$B$6:$C$23,$A8,G$6),NA())</f>
        <v>#N/A</v>
      </c>
      <c r="H8" s="3" t="str">
        <f ca="1">IFERROR(G8/F8-1,"")</f>
        <v/>
      </c>
    </row>
    <row r="9" spans="1:9" ht="19.5" customHeight="1" x14ac:dyDescent="0.3">
      <c r="A9" t="e">
        <f>MATCH(B9,'Introdução de Dados Financeiros'!$B$6:$B$23,0)</f>
        <v>#REF!</v>
      </c>
      <c r="B9" t="e">
        <f>IF(#REF!="","",#REF!)</f>
        <v>#REF!</v>
      </c>
      <c r="C9" t="e">
        <f ca="1">IFERROR(INDEX('Introdução de Dados Financeiros'!$B$6:$C$23,$A9,C$6),NA())</f>
        <v>#N/A</v>
      </c>
      <c r="D9" t="e">
        <f ca="1">IFERROR(INDEX('Introdução de Dados Financeiros'!$B$6:$C$23,$A9,D$6),NA())</f>
        <v>#N/A</v>
      </c>
      <c r="E9" t="e">
        <f ca="1">IFERROR(INDEX('Introdução de Dados Financeiros'!$B$6:$C$23,$A9,E$6),NA())</f>
        <v>#N/A</v>
      </c>
      <c r="F9" t="e">
        <f ca="1">IFERROR(INDEX('Introdução de Dados Financeiros'!$B$6:$C$23,$A9,F$6),NA())</f>
        <v>#N/A</v>
      </c>
      <c r="G9" t="e">
        <f ca="1">IFERROR(INDEX('Introdução de Dados Financeiros'!$B$6:$C$23,$A9,G$6),NA())</f>
        <v>#N/A</v>
      </c>
      <c r="H9" s="3" t="str">
        <f t="shared" ref="H9:H12" ca="1" si="0">IFERROR(G9/F9-1,"")</f>
        <v/>
      </c>
    </row>
    <row r="10" spans="1:9" ht="19.5" customHeight="1" x14ac:dyDescent="0.3">
      <c r="A10" t="e">
        <f>MATCH(B10,'Introdução de Dados Financeiros'!$B$6:$B$23,0)</f>
        <v>#REF!</v>
      </c>
      <c r="B10" t="e">
        <f>IF(#REF!="","",#REF!)</f>
        <v>#REF!</v>
      </c>
      <c r="C10" t="e">
        <f ca="1">IFERROR(INDEX('Introdução de Dados Financeiros'!$B$6:$C$23,$A10,C$6),NA())</f>
        <v>#N/A</v>
      </c>
      <c r="D10" t="e">
        <f ca="1">IFERROR(INDEX('Introdução de Dados Financeiros'!$B$6:$C$23,$A10,D$6),NA())</f>
        <v>#N/A</v>
      </c>
      <c r="E10" t="e">
        <f ca="1">IFERROR(INDEX('Introdução de Dados Financeiros'!$B$6:$C$23,$A10,E$6),NA())</f>
        <v>#N/A</v>
      </c>
      <c r="F10" t="e">
        <f ca="1">IFERROR(INDEX('Introdução de Dados Financeiros'!$B$6:$C$23,$A10,F$6),NA())</f>
        <v>#N/A</v>
      </c>
      <c r="G10" t="e">
        <f ca="1">IFERROR(INDEX('Introdução de Dados Financeiros'!$B$6:$C$23,$A10,G$6),NA())</f>
        <v>#N/A</v>
      </c>
      <c r="H10" s="3" t="str">
        <f t="shared" ca="1" si="0"/>
        <v/>
      </c>
    </row>
    <row r="11" spans="1:9" ht="19.5" customHeight="1" x14ac:dyDescent="0.3">
      <c r="A11" t="e">
        <f>MATCH(B11,'Introdução de Dados Financeiros'!$B$6:$B$23,0)</f>
        <v>#REF!</v>
      </c>
      <c r="B11" t="e">
        <f>IF(#REF!="","",#REF!)</f>
        <v>#REF!</v>
      </c>
      <c r="C11" t="e">
        <f ca="1">IFERROR(INDEX('Introdução de Dados Financeiros'!$B$6:$C$23,$A11,C$6),NA())</f>
        <v>#N/A</v>
      </c>
      <c r="D11" t="e">
        <f ca="1">IFERROR(INDEX('Introdução de Dados Financeiros'!$B$6:$C$23,$A11,D$6),NA())</f>
        <v>#N/A</v>
      </c>
      <c r="E11" t="e">
        <f ca="1">IFERROR(INDEX('Introdução de Dados Financeiros'!$B$6:$C$23,$A11,E$6),NA())</f>
        <v>#N/A</v>
      </c>
      <c r="F11" t="e">
        <f ca="1">IFERROR(INDEX('Introdução de Dados Financeiros'!$B$6:$C$23,$A11,F$6),NA())</f>
        <v>#N/A</v>
      </c>
      <c r="G11" t="e">
        <f ca="1">IFERROR(INDEX('Introdução de Dados Financeiros'!$B$6:$C$23,$A11,G$6),NA())</f>
        <v>#N/A</v>
      </c>
      <c r="H11" s="3" t="str">
        <f t="shared" ca="1" si="0"/>
        <v/>
      </c>
    </row>
    <row r="12" spans="1:9" ht="19.5" customHeight="1" x14ac:dyDescent="0.3">
      <c r="A12" t="e">
        <f>MATCH(B12,'Introdução de Dados Financeiros'!$B$6:$B$23,0)</f>
        <v>#REF!</v>
      </c>
      <c r="B12" t="e">
        <f>IF(#REF!="","",#REF!)</f>
        <v>#REF!</v>
      </c>
      <c r="C12" t="e">
        <f ca="1">IFERROR(INDEX('Introdução de Dados Financeiros'!$B$6:$C$23,$A12,C$6),NA())</f>
        <v>#N/A</v>
      </c>
      <c r="D12" t="e">
        <f ca="1">IFERROR(INDEX('Introdução de Dados Financeiros'!$B$6:$C$23,$A12,D$6),NA())</f>
        <v>#N/A</v>
      </c>
      <c r="E12" t="e">
        <f ca="1">IFERROR(INDEX('Introdução de Dados Financeiros'!$B$6:$C$23,$A12,E$6),NA())</f>
        <v>#N/A</v>
      </c>
      <c r="F12" t="e">
        <f ca="1">IFERROR(INDEX('Introdução de Dados Financeiros'!$B$6:$C$23,$A12,F$6),NA())</f>
        <v>#N/A</v>
      </c>
      <c r="G12" t="e">
        <f ca="1">IFERROR(INDEX('Introdução de Dados Financeiros'!$B$6:$C$23,$A12,G$6),NA())</f>
        <v>#N/A</v>
      </c>
      <c r="H12" s="3" t="str">
        <f t="shared" ca="1" si="0"/>
        <v/>
      </c>
    </row>
    <row r="13" spans="1:9" ht="17.25" thickBot="1" x14ac:dyDescent="0.35"/>
    <row r="14" spans="1:9" ht="19.5" thickBot="1" x14ac:dyDescent="0.35">
      <c r="B14" s="7" t="s">
        <v>6</v>
      </c>
      <c r="C14" s="7"/>
      <c r="D14" s="7"/>
      <c r="E14" s="7"/>
      <c r="F14" s="7"/>
      <c r="G14" s="7"/>
      <c r="H14" s="7"/>
    </row>
    <row r="15" spans="1:9" ht="19.5" customHeight="1" x14ac:dyDescent="0.3">
      <c r="A15">
        <f>ROWS($B$15:B15)</f>
        <v>1</v>
      </c>
      <c r="B15" t="str">
        <f>IF('Introdução de Dados Financeiros'!B6=0,"",'Introdução de Dados Financeiros'!B6)</f>
        <v>ALIMENTAÇÃO</v>
      </c>
      <c r="C15" t="e">
        <f ca="1">IF(B15="",NA(),IFERROR(INDEX('Introdução de Dados Financeiros'!$B$6:$C$23,$A15,C$6),NA()))</f>
        <v>#N/A</v>
      </c>
      <c r="D15" t="e">
        <f ca="1">IF(B15="",NA(),IFERROR(INDEX('Introdução de Dados Financeiros'!$B$6:$C$23,$A15,D$6),NA()))</f>
        <v>#N/A</v>
      </c>
      <c r="E15" t="e">
        <f ca="1">IF(B15="",NA(),IFERROR(INDEX('Introdução de Dados Financeiros'!$B$6:$C$23,$A15,E$6),NA()))</f>
        <v>#N/A</v>
      </c>
      <c r="F15" t="e">
        <f ca="1">IF(B15="",NA(),IFERROR(INDEX('Introdução de Dados Financeiros'!$B$6:$C$23,$A15,F$6),NA()))</f>
        <v>#N/A</v>
      </c>
      <c r="G15" t="e">
        <f ca="1">IF(B15="",NA(),IFERROR(INDEX('Introdução de Dados Financeiros'!$B$6:$C$23,$A15,G$6),NA()))</f>
        <v>#N/A</v>
      </c>
    </row>
    <row r="16" spans="1:9" ht="19.5" customHeight="1" x14ac:dyDescent="0.3">
      <c r="A16">
        <f>ROWS($B$15:B16)</f>
        <v>2</v>
      </c>
      <c r="B16" t="str">
        <f>IF('Introdução de Dados Financeiros'!B7=0,"",'Introdução de Dados Financeiros'!B7)</f>
        <v>CARTÓRIO</v>
      </c>
      <c r="C16" t="e">
        <f ca="1">IF(B16="",NA(),IFERROR(INDEX('Introdução de Dados Financeiros'!$B$6:$C$23,$A16,C$6),NA()))</f>
        <v>#N/A</v>
      </c>
      <c r="D16" t="e">
        <f ca="1">IF(B16="",NA(),IFERROR(INDEX('Introdução de Dados Financeiros'!$B$6:$C$23,$A16,D$6),NA()))</f>
        <v>#N/A</v>
      </c>
      <c r="E16" t="e">
        <f ca="1">IF(B16="",NA(),IFERROR(INDEX('Introdução de Dados Financeiros'!$B$6:$C$23,$A16,E$6),NA()))</f>
        <v>#N/A</v>
      </c>
      <c r="F16" t="e">
        <f ca="1">IF(B16="",NA(),IFERROR(INDEX('Introdução de Dados Financeiros'!$B$6:$C$23,$A16,F$6),NA()))</f>
        <v>#N/A</v>
      </c>
      <c r="G16" t="e">
        <f ca="1">IF(B16="",NA(),IFERROR(INDEX('Introdução de Dados Financeiros'!$B$6:$C$23,$A16,G$6),NA()))</f>
        <v>#N/A</v>
      </c>
    </row>
    <row r="17" spans="1:7" ht="19.5" customHeight="1" x14ac:dyDescent="0.3">
      <c r="A17">
        <f>ROWS($B$15:B17)</f>
        <v>3</v>
      </c>
      <c r="B17" t="str">
        <f>IF('Introdução de Dados Financeiros'!B8=0,"",'Introdução de Dados Financeiros'!B8)</f>
        <v>DESPESAS COM CESTAS  E NECESSIDADES BÁSICAS</v>
      </c>
      <c r="C17" t="e">
        <f ca="1">IF(B17="",NA(),IFERROR(INDEX('Introdução de Dados Financeiros'!$B$6:$C$23,$A17,C$6),NA()))</f>
        <v>#N/A</v>
      </c>
      <c r="D17" t="e">
        <f ca="1">IF(B17="",NA(),IFERROR(INDEX('Introdução de Dados Financeiros'!$B$6:$C$23,$A17,D$6),NA()))</f>
        <v>#N/A</v>
      </c>
      <c r="E17" t="e">
        <f ca="1">IF(B17="",NA(),IFERROR(INDEX('Introdução de Dados Financeiros'!$B$6:$C$23,$A17,E$6),NA()))</f>
        <v>#N/A</v>
      </c>
      <c r="F17" t="e">
        <f ca="1">IF(B17="",NA(),IFERROR(INDEX('Introdução de Dados Financeiros'!$B$6:$C$23,$A17,F$6),NA()))</f>
        <v>#N/A</v>
      </c>
      <c r="G17" t="e">
        <f ca="1">IF(B17="",NA(),IFERROR(INDEX('Introdução de Dados Financeiros'!$B$6:$C$23,$A17,G$6),NA()))</f>
        <v>#N/A</v>
      </c>
    </row>
    <row r="18" spans="1:7" ht="19.5" customHeight="1" x14ac:dyDescent="0.3">
      <c r="A18">
        <f>ROWS($B$15:B18)</f>
        <v>4</v>
      </c>
      <c r="B18" t="str">
        <f>IF('Introdução de Dados Financeiros'!B9=0,"",'Introdução de Dados Financeiros'!B9)</f>
        <v>DESPESAS COM VEICULOS(SEGURO,MANUTENÇÃO, (COMBUSTÍVEL-Kombi, Hilux, voyage, Pastoral da Criança, ajuda para outros colaboradores ))</v>
      </c>
      <c r="C18" t="e">
        <f ca="1">IF(B18="",NA(),IFERROR(INDEX('Introdução de Dados Financeiros'!$B$6:$C$23,$A18,C$6),NA()))</f>
        <v>#N/A</v>
      </c>
      <c r="D18" t="e">
        <f ca="1">IF(B18="",NA(),IFERROR(INDEX('Introdução de Dados Financeiros'!$B$6:$C$23,$A18,D$6),NA()))</f>
        <v>#N/A</v>
      </c>
      <c r="E18" t="e">
        <f ca="1">IF(B18="",NA(),IFERROR(INDEX('Introdução de Dados Financeiros'!$B$6:$C$23,$A18,E$6),NA()))</f>
        <v>#N/A</v>
      </c>
      <c r="F18" t="e">
        <f ca="1">IF(B18="",NA(),IFERROR(INDEX('Introdução de Dados Financeiros'!$B$6:$C$23,$A18,F$6),NA()))</f>
        <v>#N/A</v>
      </c>
      <c r="G18" t="e">
        <f ca="1">IF(B18="",NA(),IFERROR(INDEX('Introdução de Dados Financeiros'!$B$6:$C$23,$A18,G$6),NA()))</f>
        <v>#N/A</v>
      </c>
    </row>
    <row r="19" spans="1:7" ht="19.5" customHeight="1" x14ac:dyDescent="0.3">
      <c r="A19">
        <f>ROWS($B$15:B19)</f>
        <v>5</v>
      </c>
      <c r="B19" t="str">
        <f>IF('Introdução de Dados Financeiros'!B10=0,"",'Introdução de Dados Financeiros'!B10)</f>
        <v>DESPESAS FIXAS (energia, água, telefone)</v>
      </c>
      <c r="C19" t="e">
        <f ca="1">IF(B19="",NA(),IFERROR(INDEX('Introdução de Dados Financeiros'!$B$6:$C$23,$A19,C$6),NA()))</f>
        <v>#N/A</v>
      </c>
      <c r="D19" t="e">
        <f ca="1">IF(B19="",NA(),IFERROR(INDEX('Introdução de Dados Financeiros'!$B$6:$C$23,$A19,D$6),NA()))</f>
        <v>#N/A</v>
      </c>
      <c r="E19" t="e">
        <f ca="1">IF(B19="",NA(),IFERROR(INDEX('Introdução de Dados Financeiros'!$B$6:$C$23,$A19,E$6),NA()))</f>
        <v>#N/A</v>
      </c>
      <c r="F19" t="e">
        <f ca="1">IF(B19="",NA(),IFERROR(INDEX('Introdução de Dados Financeiros'!$B$6:$C$23,$A19,F$6),NA()))</f>
        <v>#N/A</v>
      </c>
      <c r="G19" t="e">
        <f ca="1">IF(B19="",NA(),IFERROR(INDEX('Introdução de Dados Financeiros'!$B$6:$C$23,$A19,G$6),NA()))</f>
        <v>#N/A</v>
      </c>
    </row>
    <row r="20" spans="1:7" ht="19.5" customHeight="1" x14ac:dyDescent="0.3">
      <c r="A20">
        <f>ROWS($B$15:B20)</f>
        <v>6</v>
      </c>
      <c r="B20" t="str">
        <f>IF('Introdução de Dados Financeiros'!B11=0,"",'Introdução de Dados Financeiros'!B11)</f>
        <v>HONORÁRIOS CONTÁBEIS</v>
      </c>
      <c r="C20" t="e">
        <f ca="1">IF(B20="",NA(),IFERROR(INDEX('Introdução de Dados Financeiros'!$B$6:$C$23,$A20,C$6),NA()))</f>
        <v>#N/A</v>
      </c>
      <c r="D20" t="e">
        <f ca="1">IF(B20="",NA(),IFERROR(INDEX('Introdução de Dados Financeiros'!$B$6:$C$23,$A20,D$6),NA()))</f>
        <v>#N/A</v>
      </c>
      <c r="E20" t="e">
        <f ca="1">IF(B20="",NA(),IFERROR(INDEX('Introdução de Dados Financeiros'!$B$6:$C$23,$A20,E$6),NA()))</f>
        <v>#N/A</v>
      </c>
      <c r="F20" t="e">
        <f ca="1">IF(B20="",NA(),IFERROR(INDEX('Introdução de Dados Financeiros'!$B$6:$C$23,$A20,F$6),NA()))</f>
        <v>#N/A</v>
      </c>
      <c r="G20" t="e">
        <f ca="1">IF(B20="",NA(),IFERROR(INDEX('Introdução de Dados Financeiros'!$B$6:$C$23,$A20,G$6),NA()))</f>
        <v>#N/A</v>
      </c>
    </row>
    <row r="21" spans="1:7" ht="19.5" customHeight="1" x14ac:dyDescent="0.3">
      <c r="A21">
        <f>ROWS($B$15:B21)</f>
        <v>7</v>
      </c>
      <c r="B21" t="str">
        <f>IF('Introdução de Dados Financeiros'!B12=0,"",'Introdução de Dados Financeiros'!B12)</f>
        <v>IMPOSTOS E TAXAS MUNICIPAIS</v>
      </c>
      <c r="C21" t="e">
        <f ca="1">IF(B21="",NA(),IFERROR(INDEX('Introdução de Dados Financeiros'!$B$6:$C$23,$A21,C$6),NA()))</f>
        <v>#N/A</v>
      </c>
      <c r="D21" t="e">
        <f ca="1">IF(B21="",NA(),IFERROR(INDEX('Introdução de Dados Financeiros'!$B$6:$C$23,$A21,D$6),NA()))</f>
        <v>#N/A</v>
      </c>
      <c r="E21" t="e">
        <f ca="1">IF(B21="",NA(),IFERROR(INDEX('Introdução de Dados Financeiros'!$B$6:$C$23,$A21,E$6),NA()))</f>
        <v>#N/A</v>
      </c>
      <c r="F21" t="e">
        <f ca="1">IF(B21="",NA(),IFERROR(INDEX('Introdução de Dados Financeiros'!$B$6:$C$23,$A21,F$6),NA()))</f>
        <v>#N/A</v>
      </c>
      <c r="G21" t="e">
        <f ca="1">IF(B21="",NA(),IFERROR(INDEX('Introdução de Dados Financeiros'!$B$6:$C$23,$A21,G$6),NA()))</f>
        <v>#N/A</v>
      </c>
    </row>
    <row r="22" spans="1:7" ht="19.5" customHeight="1" x14ac:dyDescent="0.3">
      <c r="A22">
        <f>ROWS($B$15:B22)</f>
        <v>8</v>
      </c>
      <c r="B22" t="str">
        <f>IF('Introdução de Dados Financeiros'!B13=0,"",'Introdução de Dados Financeiros'!B13)</f>
        <v>INSUMOS E MATERIAIS PARA HORTA</v>
      </c>
      <c r="C22" t="e">
        <f ca="1">IF(B22="",NA(),IFERROR(INDEX('Introdução de Dados Financeiros'!$B$6:$C$23,$A22,C$6),NA()))</f>
        <v>#N/A</v>
      </c>
      <c r="D22" t="e">
        <f ca="1">IF(B22="",NA(),IFERROR(INDEX('Introdução de Dados Financeiros'!$B$6:$C$23,$A22,D$6),NA()))</f>
        <v>#N/A</v>
      </c>
      <c r="E22" t="e">
        <f ca="1">IF(B22="",NA(),IFERROR(INDEX('Introdução de Dados Financeiros'!$B$6:$C$23,$A22,E$6),NA()))</f>
        <v>#N/A</v>
      </c>
      <c r="F22" t="e">
        <f ca="1">IF(B22="",NA(),IFERROR(INDEX('Introdução de Dados Financeiros'!$B$6:$C$23,$A22,F$6),NA()))</f>
        <v>#N/A</v>
      </c>
      <c r="G22" t="e">
        <f ca="1">IF(B22="",NA(),IFERROR(INDEX('Introdução de Dados Financeiros'!$B$6:$C$23,$A22,G$6),NA()))</f>
        <v>#N/A</v>
      </c>
    </row>
    <row r="23" spans="1:7" ht="19.5" customHeight="1" x14ac:dyDescent="0.3">
      <c r="A23">
        <f>ROWS($B$15:B23)</f>
        <v>9</v>
      </c>
      <c r="B23" t="str">
        <f>IF('Introdução de Dados Financeiros'!B14=0,"",'Introdução de Dados Financeiros'!B14)</f>
        <v>MANUNTENÇÃO DE EQUIPAMENTOS</v>
      </c>
      <c r="C23" t="e">
        <f ca="1">IF(B23="",NA(),IFERROR(INDEX('Introdução de Dados Financeiros'!$B$6:$C$23,$A23,C$6),NA()))</f>
        <v>#N/A</v>
      </c>
      <c r="D23" t="e">
        <f ca="1">IF(B23="",NA(),IFERROR(INDEX('Introdução de Dados Financeiros'!$B$6:$C$23,$A23,D$6),NA()))</f>
        <v>#N/A</v>
      </c>
      <c r="E23" t="e">
        <f ca="1">IF(B23="",NA(),IFERROR(INDEX('Introdução de Dados Financeiros'!$B$6:$C$23,$A23,E$6),NA()))</f>
        <v>#N/A</v>
      </c>
      <c r="F23" t="e">
        <f ca="1">IF(B23="",NA(),IFERROR(INDEX('Introdução de Dados Financeiros'!$B$6:$C$23,$A23,F$6),NA()))</f>
        <v>#N/A</v>
      </c>
      <c r="G23" t="e">
        <f ca="1">IF(B23="",NA(),IFERROR(INDEX('Introdução de Dados Financeiros'!$B$6:$C$23,$A23,G$6),NA()))</f>
        <v>#N/A</v>
      </c>
    </row>
    <row r="24" spans="1:7" ht="19.5" customHeight="1" x14ac:dyDescent="0.3">
      <c r="A24">
        <f>ROWS($B$15:B24)</f>
        <v>10</v>
      </c>
      <c r="B24" t="str">
        <f>IF('Introdução de Dados Financeiros'!B16=0,"",'Introdução de Dados Financeiros'!B16)</f>
        <v>MANUTENÇÃO SITE</v>
      </c>
      <c r="C24" t="e">
        <f ca="1">IF(B24="",NA(),IFERROR(INDEX('Introdução de Dados Financeiros'!$B$6:$C$23,$A24,C$6),NA()))</f>
        <v>#N/A</v>
      </c>
      <c r="D24" t="e">
        <f ca="1">IF(B24="",NA(),IFERROR(INDEX('Introdução de Dados Financeiros'!$B$6:$C$23,$A24,D$6),NA()))</f>
        <v>#N/A</v>
      </c>
      <c r="E24" t="e">
        <f ca="1">IF(B24="",NA(),IFERROR(INDEX('Introdução de Dados Financeiros'!$B$6:$C$23,$A24,E$6),NA()))</f>
        <v>#N/A</v>
      </c>
      <c r="F24" t="e">
        <f ca="1">IF(B24="",NA(),IFERROR(INDEX('Introdução de Dados Financeiros'!$B$6:$C$23,$A24,F$6),NA()))</f>
        <v>#N/A</v>
      </c>
      <c r="G24" t="e">
        <f ca="1">IF(B24="",NA(),IFERROR(INDEX('Introdução de Dados Financeiros'!$B$6:$C$23,$A24,G$6),NA()))</f>
        <v>#N/A</v>
      </c>
    </row>
    <row r="25" spans="1:7" ht="19.5" customHeight="1" x14ac:dyDescent="0.3">
      <c r="A25">
        <f>ROWS($B$15:B25)</f>
        <v>11</v>
      </c>
      <c r="B25" t="str">
        <f>IF('Introdução de Dados Financeiros'!B23=0,"",'Introdução de Dados Financeiros'!B23)</f>
        <v>Total</v>
      </c>
      <c r="C25" t="e">
        <f ca="1">IF(B25="",NA(),IFERROR(INDEX('Introdução de Dados Financeiros'!$B$6:$C$23,$A25,C$6),NA()))</f>
        <v>#N/A</v>
      </c>
      <c r="D25" t="e">
        <f ca="1">IF(B25="",NA(),IFERROR(INDEX('Introdução de Dados Financeiros'!$B$6:$C$23,$A25,D$6),NA()))</f>
        <v>#N/A</v>
      </c>
      <c r="E25" t="e">
        <f ca="1">IF(B25="",NA(),IFERROR(INDEX('Introdução de Dados Financeiros'!$B$6:$C$23,$A25,E$6),NA()))</f>
        <v>#N/A</v>
      </c>
      <c r="F25" t="e">
        <f ca="1">IF(B25="",NA(),IFERROR(INDEX('Introdução de Dados Financeiros'!$B$6:$C$23,$A25,F$6),NA()))</f>
        <v>#N/A</v>
      </c>
      <c r="G25" t="e">
        <f ca="1">IF(B25="",NA(),IFERROR(INDEX('Introdução de Dados Financeiros'!$B$6:$C$23,$A25,G$6),NA()))</f>
        <v>#N/A</v>
      </c>
    </row>
    <row r="26" spans="1:7" ht="19.5" customHeight="1" x14ac:dyDescent="0.3">
      <c r="A26">
        <f>ROWS($B$15:B26)</f>
        <v>12</v>
      </c>
      <c r="B26" t="e">
        <f>IF('Introdução de Dados Financeiros'!#REF!=0,"",'Introdução de Dados Financeiros'!#REF!)</f>
        <v>#REF!</v>
      </c>
      <c r="C26" t="e">
        <f>IF(B26="",NA(),IFERROR(INDEX('Introdução de Dados Financeiros'!$B$6:$C$23,$A26,C$6),NA()))</f>
        <v>#REF!</v>
      </c>
      <c r="D26" t="e">
        <f>IF(B26="",NA(),IFERROR(INDEX('Introdução de Dados Financeiros'!$B$6:$C$23,$A26,D$6),NA()))</f>
        <v>#REF!</v>
      </c>
      <c r="E26" t="e">
        <f>IF(B26="",NA(),IFERROR(INDEX('Introdução de Dados Financeiros'!$B$6:$C$23,$A26,E$6),NA()))</f>
        <v>#REF!</v>
      </c>
      <c r="F26" t="e">
        <f>IF(B26="",NA(),IFERROR(INDEX('Introdução de Dados Financeiros'!$B$6:$C$23,$A26,F$6),NA()))</f>
        <v>#REF!</v>
      </c>
      <c r="G26" t="e">
        <f>IF(B26="",NA(),IFERROR(INDEX('Introdução de Dados Financeiros'!$B$6:$C$23,$A26,G$6),NA()))</f>
        <v>#REF!</v>
      </c>
    </row>
    <row r="27" spans="1:7" ht="19.5" customHeight="1" x14ac:dyDescent="0.3">
      <c r="A27">
        <f>ROWS($B$15:B27)</f>
        <v>13</v>
      </c>
      <c r="B27" t="e">
        <f>IF('Introdução de Dados Financeiros'!#REF!=0,"",'Introdução de Dados Financeiros'!#REF!)</f>
        <v>#REF!</v>
      </c>
      <c r="C27" t="e">
        <f>IF(B27="",NA(),IFERROR(INDEX('Introdução de Dados Financeiros'!$B$6:$C$23,$A27,C$6),NA()))</f>
        <v>#REF!</v>
      </c>
      <c r="D27" t="e">
        <f>IF(B27="",NA(),IFERROR(INDEX('Introdução de Dados Financeiros'!$B$6:$C$23,$A27,D$6),NA()))</f>
        <v>#REF!</v>
      </c>
      <c r="E27" t="e">
        <f>IF(B27="",NA(),IFERROR(INDEX('Introdução de Dados Financeiros'!$B$6:$C$23,$A27,E$6),NA()))</f>
        <v>#REF!</v>
      </c>
      <c r="F27" t="e">
        <f>IF(B27="",NA(),IFERROR(INDEX('Introdução de Dados Financeiros'!$B$6:$C$23,$A27,F$6),NA()))</f>
        <v>#REF!</v>
      </c>
      <c r="G27" t="e">
        <f>IF(B27="",NA(),IFERROR(INDEX('Introdução de Dados Financeiros'!$B$6:$C$23,$A27,G$6),NA()))</f>
        <v>#REF!</v>
      </c>
    </row>
    <row r="28" spans="1:7" ht="19.5" customHeight="1" x14ac:dyDescent="0.3">
      <c r="A28">
        <f>ROWS($B$15:B28)</f>
        <v>14</v>
      </c>
      <c r="B28" t="e">
        <f>IF('Introdução de Dados Financeiros'!#REF!=0,"",'Introdução de Dados Financeiros'!#REF!)</f>
        <v>#REF!</v>
      </c>
      <c r="C28" t="e">
        <f>IF(B28="",NA(),IFERROR(INDEX('Introdução de Dados Financeiros'!$B$6:$C$23,$A28,C$6),NA()))</f>
        <v>#REF!</v>
      </c>
      <c r="D28" t="e">
        <f>IF(B28="",NA(),IFERROR(INDEX('Introdução de Dados Financeiros'!$B$6:$C$23,$A28,D$6),NA()))</f>
        <v>#REF!</v>
      </c>
      <c r="E28" t="e">
        <f>IF(B28="",NA(),IFERROR(INDEX('Introdução de Dados Financeiros'!$B$6:$C$23,$A28,E$6),NA()))</f>
        <v>#REF!</v>
      </c>
      <c r="F28" t="e">
        <f>IF(B28="",NA(),IFERROR(INDEX('Introdução de Dados Financeiros'!$B$6:$C$23,$A28,F$6),NA()))</f>
        <v>#REF!</v>
      </c>
      <c r="G28" t="e">
        <f>IF(B28="",NA(),IFERROR(INDEX('Introdução de Dados Financeiros'!$B$6:$C$23,$A28,G$6),NA()))</f>
        <v>#REF!</v>
      </c>
    </row>
    <row r="29" spans="1:7" ht="19.5" customHeight="1" x14ac:dyDescent="0.3">
      <c r="A29">
        <f>ROWS($B$15:B29)</f>
        <v>15</v>
      </c>
      <c r="B29" t="e">
        <f>IF('Introdução de Dados Financeiros'!#REF!=0,"",'Introdução de Dados Financeiros'!#REF!)</f>
        <v>#REF!</v>
      </c>
      <c r="C29" t="e">
        <f>IF(B29="",NA(),IFERROR(INDEX('Introdução de Dados Financeiros'!$B$6:$C$23,$A29,C$6),NA()))</f>
        <v>#REF!</v>
      </c>
      <c r="D29" t="e">
        <f>IF(B29="",NA(),IFERROR(INDEX('Introdução de Dados Financeiros'!$B$6:$C$23,$A29,D$6),NA()))</f>
        <v>#REF!</v>
      </c>
      <c r="E29" t="e">
        <f>IF(B29="",NA(),IFERROR(INDEX('Introdução de Dados Financeiros'!$B$6:$C$23,$A29,E$6),NA()))</f>
        <v>#REF!</v>
      </c>
      <c r="F29" t="e">
        <f>IF(B29="",NA(),IFERROR(INDEX('Introdução de Dados Financeiros'!$B$6:$C$23,$A29,F$6),NA()))</f>
        <v>#REF!</v>
      </c>
      <c r="G29" t="e">
        <f>IF(B29="",NA(),IFERROR(INDEX('Introdução de Dados Financeiros'!$B$6:$C$23,$A29,G$6),NA()))</f>
        <v>#REF!</v>
      </c>
    </row>
    <row r="30" spans="1:7" ht="19.5" customHeight="1" x14ac:dyDescent="0.3">
      <c r="A30">
        <f>ROWS($B$15:B30)</f>
        <v>16</v>
      </c>
      <c r="B30" t="e">
        <f>IF('Introdução de Dados Financeiros'!#REF!=0,"",'Introdução de Dados Financeiros'!#REF!)</f>
        <v>#REF!</v>
      </c>
      <c r="C30" t="e">
        <f>IF(B30="",NA(),IFERROR(INDEX('Introdução de Dados Financeiros'!$B$6:$C$23,$A30,C$6),NA()))</f>
        <v>#REF!</v>
      </c>
      <c r="D30" t="e">
        <f>IF(B30="",NA(),IFERROR(INDEX('Introdução de Dados Financeiros'!$B$6:$C$23,$A30,D$6),NA()))</f>
        <v>#REF!</v>
      </c>
      <c r="E30" t="e">
        <f>IF(B30="",NA(),IFERROR(INDEX('Introdução de Dados Financeiros'!$B$6:$C$23,$A30,E$6),NA()))</f>
        <v>#REF!</v>
      </c>
      <c r="F30" t="e">
        <f>IF(B30="",NA(),IFERROR(INDEX('Introdução de Dados Financeiros'!$B$6:$C$23,$A30,F$6),NA()))</f>
        <v>#REF!</v>
      </c>
      <c r="G30" t="e">
        <f>IF(B30="",NA(),IFERROR(INDEX('Introdução de Dados Financeiros'!$B$6:$C$23,$A30,G$6),NA()))</f>
        <v>#REF!</v>
      </c>
    </row>
    <row r="31" spans="1:7" ht="19.5" customHeight="1" x14ac:dyDescent="0.3">
      <c r="A31">
        <f>ROWS($B$15:B31)</f>
        <v>17</v>
      </c>
      <c r="B31" t="e">
        <f>IF('Introdução de Dados Financeiros'!#REF!=0,"",'Introdução de Dados Financeiros'!#REF!)</f>
        <v>#REF!</v>
      </c>
      <c r="C31" t="e">
        <f>IF(B31="",NA(),IFERROR(INDEX('Introdução de Dados Financeiros'!$B$6:$C$23,$A31,C$6),NA()))</f>
        <v>#REF!</v>
      </c>
      <c r="D31" t="e">
        <f>IF(B31="",NA(),IFERROR(INDEX('Introdução de Dados Financeiros'!$B$6:$C$23,$A31,D$6),NA()))</f>
        <v>#REF!</v>
      </c>
      <c r="E31" t="e">
        <f>IF(B31="",NA(),IFERROR(INDEX('Introdução de Dados Financeiros'!$B$6:$C$23,$A31,E$6),NA()))</f>
        <v>#REF!</v>
      </c>
      <c r="F31" t="e">
        <f>IF(B31="",NA(),IFERROR(INDEX('Introdução de Dados Financeiros'!$B$6:$C$23,$A31,F$6),NA()))</f>
        <v>#REF!</v>
      </c>
      <c r="G31" t="e">
        <f>IF(B31="",NA(),IFERROR(INDEX('Introdução de Dados Financeiros'!$B$6:$C$23,$A31,G$6),NA()))</f>
        <v>#REF!</v>
      </c>
    </row>
    <row r="32" spans="1:7" ht="19.5" customHeight="1" x14ac:dyDescent="0.3">
      <c r="A32">
        <f>ROWS($B$15:B32)</f>
        <v>18</v>
      </c>
      <c r="B32" t="e">
        <f>IF('Introdução de Dados Financeiros'!#REF!=0,"",'Introdução de Dados Financeiros'!#REF!)</f>
        <v>#REF!</v>
      </c>
      <c r="C32" t="e">
        <f>IF(B32="",NA(),IFERROR(INDEX('Introdução de Dados Financeiros'!$B$6:$C$23,$A32,C$6),NA()))</f>
        <v>#REF!</v>
      </c>
      <c r="D32" t="e">
        <f>IF(B32="",NA(),IFERROR(INDEX('Introdução de Dados Financeiros'!$B$6:$C$23,$A32,D$6),NA()))</f>
        <v>#REF!</v>
      </c>
      <c r="E32" t="e">
        <f>IF(B32="",NA(),IFERROR(INDEX('Introdução de Dados Financeiros'!$B$6:$C$23,$A32,E$6),NA()))</f>
        <v>#REF!</v>
      </c>
      <c r="F32" t="e">
        <f>IF(B32="",NA(),IFERROR(INDEX('Introdução de Dados Financeiros'!$B$6:$C$23,$A32,F$6),NA()))</f>
        <v>#REF!</v>
      </c>
      <c r="G32" t="e">
        <f>IF(B32="",NA(),IFERROR(INDEX('Introdução de Dados Financeiros'!$B$6:$C$23,$A32,G$6),NA()))</f>
        <v>#REF!</v>
      </c>
    </row>
    <row r="33" spans="1:7" ht="19.5" customHeight="1" x14ac:dyDescent="0.3">
      <c r="A33">
        <f>ROWS($B$15:B33)</f>
        <v>19</v>
      </c>
      <c r="B33" t="e">
        <f>IF('Introdução de Dados Financeiros'!#REF!=0,"",'Introdução de Dados Financeiros'!#REF!)</f>
        <v>#REF!</v>
      </c>
      <c r="C33" t="e">
        <f>IF(B33="",NA(),IFERROR(INDEX('Introdução de Dados Financeiros'!$B$6:$C$23,$A33,C$6),NA()))</f>
        <v>#REF!</v>
      </c>
      <c r="D33" t="e">
        <f>IF(B33="",NA(),IFERROR(INDEX('Introdução de Dados Financeiros'!$B$6:$C$23,$A33,D$6),NA()))</f>
        <v>#REF!</v>
      </c>
      <c r="E33" t="e">
        <f>IF(B33="",NA(),IFERROR(INDEX('Introdução de Dados Financeiros'!$B$6:$C$23,$A33,E$6),NA()))</f>
        <v>#REF!</v>
      </c>
      <c r="F33" t="e">
        <f>IF(B33="",NA(),IFERROR(INDEX('Introdução de Dados Financeiros'!$B$6:$C$23,$A33,F$6),NA()))</f>
        <v>#REF!</v>
      </c>
      <c r="G33" t="e">
        <f>IF(B33="",NA(),IFERROR(INDEX('Introdução de Dados Financeiros'!$B$6:$C$23,$A33,G$6),NA()))</f>
        <v>#REF!</v>
      </c>
    </row>
    <row r="34" spans="1:7" ht="19.5" customHeight="1" x14ac:dyDescent="0.3">
      <c r="A34">
        <f>ROWS($B$15:B34)</f>
        <v>20</v>
      </c>
      <c r="B34" t="e">
        <f>IF('Introdução de Dados Financeiros'!#REF!=0,"",'Introdução de Dados Financeiros'!#REF!)</f>
        <v>#REF!</v>
      </c>
      <c r="C34" t="e">
        <f>IF(B34="",NA(),IFERROR(INDEX('Introdução de Dados Financeiros'!$B$6:$C$23,$A34,C$6),NA()))</f>
        <v>#REF!</v>
      </c>
      <c r="D34" t="e">
        <f>IF(B34="",NA(),IFERROR(INDEX('Introdução de Dados Financeiros'!$B$6:$C$23,$A34,D$6),NA()))</f>
        <v>#REF!</v>
      </c>
      <c r="E34" t="e">
        <f>IF(B34="",NA(),IFERROR(INDEX('Introdução de Dados Financeiros'!$B$6:$C$23,$A34,E$6),NA()))</f>
        <v>#REF!</v>
      </c>
      <c r="F34" t="e">
        <f>IF(B34="",NA(),IFERROR(INDEX('Introdução de Dados Financeiros'!$B$6:$C$23,$A34,F$6),NA()))</f>
        <v>#REF!</v>
      </c>
      <c r="G34" t="e">
        <f>IF(B34="",NA(),IFERROR(INDEX('Introdução de Dados Financeiros'!$B$6:$C$23,$A34,G$6),NA()))</f>
        <v>#REF!</v>
      </c>
    </row>
    <row r="35" spans="1:7" ht="19.5" customHeight="1" x14ac:dyDescent="0.3">
      <c r="A35">
        <f>ROWS($B$15:B35)</f>
        <v>21</v>
      </c>
      <c r="B35" t="e">
        <f>IF('Introdução de Dados Financeiros'!#REF!=0,"",'Introdução de Dados Financeiros'!#REF!)</f>
        <v>#REF!</v>
      </c>
      <c r="C35" t="e">
        <f>IF(B35="",NA(),IFERROR(INDEX('Introdução de Dados Financeiros'!$B$6:$C$23,$A35,C$6),NA()))</f>
        <v>#REF!</v>
      </c>
      <c r="D35" t="e">
        <f>IF(B35="",NA(),IFERROR(INDEX('Introdução de Dados Financeiros'!$B$6:$C$23,$A35,D$6),NA()))</f>
        <v>#REF!</v>
      </c>
      <c r="E35" t="e">
        <f>IF(B35="",NA(),IFERROR(INDEX('Introdução de Dados Financeiros'!$B$6:$C$23,$A35,E$6),NA()))</f>
        <v>#REF!</v>
      </c>
      <c r="F35" t="e">
        <f>IF(B35="",NA(),IFERROR(INDEX('Introdução de Dados Financeiros'!$B$6:$C$23,$A35,F$6),NA()))</f>
        <v>#REF!</v>
      </c>
      <c r="G35" t="e">
        <f>IF(B35="",NA(),IFERROR(INDEX('Introdução de Dados Financeiros'!$B$6:$C$23,$A35,G$6),NA()))</f>
        <v>#REF!</v>
      </c>
    </row>
    <row r="36" spans="1:7" ht="19.5" customHeight="1" x14ac:dyDescent="0.3">
      <c r="A36">
        <f>ROWS($B$15:B36)</f>
        <v>22</v>
      </c>
      <c r="B36" t="e">
        <f>IF('Introdução de Dados Financeiros'!#REF!=0,"",'Introdução de Dados Financeiros'!#REF!)</f>
        <v>#REF!</v>
      </c>
      <c r="C36" t="e">
        <f>IF(B36="",NA(),IFERROR(INDEX('Introdução de Dados Financeiros'!$B$6:$C$23,$A36,C$6),NA()))</f>
        <v>#REF!</v>
      </c>
      <c r="D36" t="e">
        <f>IF(B36="",NA(),IFERROR(INDEX('Introdução de Dados Financeiros'!$B$6:$C$23,$A36,D$6),NA()))</f>
        <v>#REF!</v>
      </c>
      <c r="E36" t="e">
        <f>IF(B36="",NA(),IFERROR(INDEX('Introdução de Dados Financeiros'!$B$6:$C$23,$A36,E$6),NA()))</f>
        <v>#REF!</v>
      </c>
      <c r="F36" t="e">
        <f>IF(B36="",NA(),IFERROR(INDEX('Introdução de Dados Financeiros'!$B$6:$C$23,$A36,F$6),NA()))</f>
        <v>#REF!</v>
      </c>
      <c r="G36" t="e">
        <f>IF(B36="",NA(),IFERROR(INDEX('Introdução de Dados Financeiros'!$B$6:$C$23,$A36,G$6),NA()))</f>
        <v>#REF!</v>
      </c>
    </row>
    <row r="37" spans="1:7" ht="19.5" customHeight="1" x14ac:dyDescent="0.3">
      <c r="A37">
        <f>ROWS($B$15:B37)</f>
        <v>23</v>
      </c>
      <c r="B37" t="e">
        <f>IF('Introdução de Dados Financeiros'!#REF!=0,"",'Introdução de Dados Financeiros'!#REF!)</f>
        <v>#REF!</v>
      </c>
      <c r="C37" t="e">
        <f>IF(B37="",NA(),IFERROR(INDEX('Introdução de Dados Financeiros'!$B$6:$C$23,$A37,C$6),NA()))</f>
        <v>#REF!</v>
      </c>
      <c r="D37" t="e">
        <f>IF(B37="",NA(),IFERROR(INDEX('Introdução de Dados Financeiros'!$B$6:$C$23,$A37,D$6),NA()))</f>
        <v>#REF!</v>
      </c>
      <c r="E37" t="e">
        <f>IF(B37="",NA(),IFERROR(INDEX('Introdução de Dados Financeiros'!$B$6:$C$23,$A37,E$6),NA()))</f>
        <v>#REF!</v>
      </c>
      <c r="F37" t="e">
        <f>IF(B37="",NA(),IFERROR(INDEX('Introdução de Dados Financeiros'!$B$6:$C$23,$A37,F$6),NA()))</f>
        <v>#REF!</v>
      </c>
      <c r="G37" t="e">
        <f>IF(B37="",NA(),IFERROR(INDEX('Introdução de Dados Financeiros'!$B$6:$C$23,$A37,G$6),NA()))</f>
        <v>#REF!</v>
      </c>
    </row>
    <row r="38" spans="1:7" ht="19.5" customHeight="1" x14ac:dyDescent="0.3">
      <c r="A38">
        <f>ROWS($B$15:B38)</f>
        <v>24</v>
      </c>
      <c r="B38" t="e">
        <f>IF('Introdução de Dados Financeiros'!#REF!=0,"",'Introdução de Dados Financeiros'!#REF!)</f>
        <v>#REF!</v>
      </c>
      <c r="C38" t="e">
        <f>IF(B38="",NA(),IFERROR(INDEX('Introdução de Dados Financeiros'!$B$6:$C$23,$A38,C$6),NA()))</f>
        <v>#REF!</v>
      </c>
      <c r="D38" t="e">
        <f>IF(B38="",NA(),IFERROR(INDEX('Introdução de Dados Financeiros'!$B$6:$C$23,$A38,D$6),NA()))</f>
        <v>#REF!</v>
      </c>
      <c r="E38" t="e">
        <f>IF(B38="",NA(),IFERROR(INDEX('Introdução de Dados Financeiros'!$B$6:$C$23,$A38,E$6),NA()))</f>
        <v>#REF!</v>
      </c>
      <c r="F38" t="e">
        <f>IF(B38="",NA(),IFERROR(INDEX('Introdução de Dados Financeiros'!$B$6:$C$23,$A38,F$6),NA()))</f>
        <v>#REF!</v>
      </c>
      <c r="G38" t="e">
        <f>IF(B38="",NA(),IFERROR(INDEX('Introdução de Dados Financeiros'!$B$6:$C$23,$A38,G$6),NA()))</f>
        <v>#REF!</v>
      </c>
    </row>
    <row r="39" spans="1:7" ht="19.5" customHeight="1" x14ac:dyDescent="0.3">
      <c r="A39">
        <f>ROWS($B$15:B39)</f>
        <v>25</v>
      </c>
      <c r="B39" t="e">
        <f>IF('Introdução de Dados Financeiros'!#REF!=0,"",'Introdução de Dados Financeiros'!#REF!)</f>
        <v>#REF!</v>
      </c>
      <c r="C39" t="e">
        <f>IF(B39="",NA(),IFERROR(INDEX('Introdução de Dados Financeiros'!$B$6:$C$23,$A39,C$6),NA()))</f>
        <v>#REF!</v>
      </c>
      <c r="D39" t="e">
        <f>IF(B39="",NA(),IFERROR(INDEX('Introdução de Dados Financeiros'!$B$6:$C$23,$A39,D$6),NA()))</f>
        <v>#REF!</v>
      </c>
      <c r="E39" t="e">
        <f>IF(B39="",NA(),IFERROR(INDEX('Introdução de Dados Financeiros'!$B$6:$C$23,$A39,E$6),NA()))</f>
        <v>#REF!</v>
      </c>
      <c r="F39" t="e">
        <f>IF(B39="",NA(),IFERROR(INDEX('Introdução de Dados Financeiros'!$B$6:$C$23,$A39,F$6),NA()))</f>
        <v>#REF!</v>
      </c>
      <c r="G39" t="e">
        <f>IF(B39="",NA(),IFERROR(INDEX('Introdução de Dados Financeiros'!$B$6:$C$23,$A39,G$6),NA()))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Introdução de Dados Financeiros</vt:lpstr>
      <vt:lpstr>Relatório Financeiro</vt:lpstr>
      <vt:lpstr>3080</vt:lpstr>
      <vt:lpstr>itau covid</vt:lpstr>
      <vt:lpstr>Planilha1</vt:lpstr>
      <vt:lpstr>Cálculos</vt:lpstr>
      <vt:lpstr>Anos</vt:lpstr>
      <vt:lpstr>'Relatório Financeiro'!Area_de_impressao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Rodrigo Campos</cp:lastModifiedBy>
  <cp:lastPrinted>2021-02-08T12:34:23Z</cp:lastPrinted>
  <dcterms:created xsi:type="dcterms:W3CDTF">2018-03-21T12:46:39Z</dcterms:created>
  <dcterms:modified xsi:type="dcterms:W3CDTF">2021-04-13T19:39:03Z</dcterms:modified>
</cp:coreProperties>
</file>